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mc:AlternateContent xmlns:mc="http://schemas.openxmlformats.org/markup-compatibility/2006">
    <mc:Choice Requires="x15">
      <x15ac:absPath xmlns:x15ac="http://schemas.microsoft.com/office/spreadsheetml/2010/11/ac" url="C:\Users\мектеп16\Documents\Асылбеков Нурик 123456Аа\"/>
    </mc:Choice>
  </mc:AlternateContent>
  <xr:revisionPtr revIDLastSave="0" documentId="13_ncr:1_{485C2067-7F9D-48D4-9575-F4090B9AA9C3}" xr6:coauthVersionLast="47" xr6:coauthVersionMax="47" xr10:uidLastSave="{00000000-0000-0000-0000-000000000000}"/>
  <bookViews>
    <workbookView xWindow="-110" yWindow="-110" windowWidth="19420" windowHeight="10420" tabRatio="315" firstSheet="3" activeTab="3" xr2:uid="{00000000-000D-0000-FFFF-FFFF00000000}"/>
  </bookViews>
  <sheets>
    <sheet name="свод штат" sheetId="19" state="hidden" r:id="rId1"/>
    <sheet name="ШТАТ АУП 2022" sheetId="2" state="hidden" r:id="rId2"/>
    <sheet name="тариф мугалим" sheetId="18" state="hidden" r:id="rId3"/>
    <sheet name="АУП 2024" sheetId="21" r:id="rId4"/>
    <sheet name="МҰҒАЛІМ" sheetId="22" r:id="rId5"/>
    <sheet name="анық" sheetId="20" r:id="rId6"/>
    <sheet name="Лист3" sheetId="23" r:id="rId7"/>
  </sheets>
  <externalReferences>
    <externalReference r:id="rId8"/>
  </externalReferences>
  <definedNames>
    <definedName name="_xlnm._FilterDatabase" localSheetId="3" hidden="1">'АУП 2024'!$A$12:$AC$12</definedName>
    <definedName name="_xlnm._FilterDatabase" localSheetId="4" hidden="1">МҰҒАЛІМ!$A$17:$AO$110</definedName>
    <definedName name="_xlnm._FilterDatabase" localSheetId="2" hidden="1">'тариф мугалим'!$A$20:$AO$89</definedName>
    <definedName name="_xlnm._FilterDatabase" localSheetId="1" hidden="1">'ШТАТ АУП 2022'!$A$12:$AD$132</definedName>
    <definedName name="_xlnm.Print_Area" localSheetId="5">анық!$A$1:$F$41</definedName>
    <definedName name="_xlnm.Print_Area" localSheetId="3">'АУП 2024'!$A$1:$AC$60</definedName>
    <definedName name="_xlnm.Print_Area" localSheetId="4">МҰҒАЛІМ!$A$1:$AN$127</definedName>
    <definedName name="_xlnm.Print_Area" localSheetId="2">'тариф мугалим'!$A$1:$AM$95</definedName>
    <definedName name="_xlnm.Print_Area" localSheetId="1">'ШТАТ АУП 2022'!$A$1:$AB$135</definedName>
    <definedName name="_xlnm.Print_Titles" localSheetId="3">'АУП 2024'!$10:$12</definedName>
    <definedName name="_xlnm.Print_Titles" localSheetId="4">МҰҒАЛІМ!$15:$17</definedName>
    <definedName name="_xlnm.Print_Titles" localSheetId="0">'свод штат'!$10:$11</definedName>
    <definedName name="_xlnm.Print_Titles" localSheetId="2">'тариф мугалим'!$19:$20</definedName>
    <definedName name="_xlnm.Print_Titles" localSheetId="1">'ШТАТ АУП 2022'!$11:$12</definedName>
  </definedNames>
  <calcPr calcId="191029" iterateDelta="0" calcOnSave="0"/>
</workbook>
</file>

<file path=xl/calcChain.xml><?xml version="1.0" encoding="utf-8"?>
<calcChain xmlns="http://schemas.openxmlformats.org/spreadsheetml/2006/main">
  <c r="AG109" i="22" l="1"/>
  <c r="Z109" i="22"/>
  <c r="K109" i="22"/>
  <c r="J109" i="22"/>
  <c r="AE109" i="22" s="1"/>
  <c r="AG36" i="22"/>
  <c r="AG77" i="22"/>
  <c r="AG100" i="22"/>
  <c r="O109" i="22" l="1"/>
  <c r="J70" i="22"/>
  <c r="O70" i="22" s="1"/>
  <c r="R70" i="22" s="1"/>
  <c r="S70" i="22" s="1"/>
  <c r="K70" i="22"/>
  <c r="AG96" i="22"/>
  <c r="AG51" i="22"/>
  <c r="AG54" i="22"/>
  <c r="R109" i="22" l="1"/>
  <c r="S109" i="22" s="1"/>
  <c r="AE70" i="22"/>
  <c r="T70" i="22"/>
  <c r="J36" i="22"/>
  <c r="K36" i="22"/>
  <c r="AB36" i="22" s="1"/>
  <c r="T109" i="22" l="1"/>
  <c r="AM109" i="22" s="1"/>
  <c r="AN109" i="22" s="1"/>
  <c r="AM70" i="22"/>
  <c r="AN70" i="22" s="1"/>
  <c r="AE36" i="22"/>
  <c r="O36" i="22"/>
  <c r="M36" i="22"/>
  <c r="AG104" i="22"/>
  <c r="K73" i="22"/>
  <c r="K35" i="21"/>
  <c r="O35" i="21" s="1"/>
  <c r="Z51" i="22"/>
  <c r="Z76" i="22"/>
  <c r="Z105" i="22"/>
  <c r="Z108" i="22"/>
  <c r="AB93" i="22"/>
  <c r="AB71" i="22"/>
  <c r="Z67" i="22"/>
  <c r="Z53" i="22"/>
  <c r="AB84" i="22"/>
  <c r="AB50" i="22"/>
  <c r="R36" i="22" l="1"/>
  <c r="S36" i="22" s="1"/>
  <c r="P35" i="21"/>
  <c r="AB35" i="21" s="1"/>
  <c r="AC35" i="21" s="1"/>
  <c r="M35" i="21"/>
  <c r="Z100" i="22"/>
  <c r="Z66" i="22"/>
  <c r="Z65" i="22"/>
  <c r="Z52" i="22"/>
  <c r="Z48" i="22"/>
  <c r="AB40" i="22"/>
  <c r="Z34" i="22"/>
  <c r="Z33" i="22"/>
  <c r="Z29" i="22"/>
  <c r="Z90" i="22"/>
  <c r="Z83" i="22"/>
  <c r="Z32" i="22"/>
  <c r="Z54" i="22"/>
  <c r="Z77" i="22"/>
  <c r="Z43" i="22"/>
  <c r="Z23" i="22"/>
  <c r="T58" i="21"/>
  <c r="AH110" i="22"/>
  <c r="AC110" i="22"/>
  <c r="X110" i="22"/>
  <c r="V110" i="22"/>
  <c r="N110" i="22"/>
  <c r="P110" i="22"/>
  <c r="L110" i="22"/>
  <c r="AF110" i="22"/>
  <c r="J19" i="22"/>
  <c r="K19" i="22"/>
  <c r="J20" i="22"/>
  <c r="K20" i="22"/>
  <c r="J21" i="22"/>
  <c r="K21" i="22"/>
  <c r="J22" i="22"/>
  <c r="K22" i="22"/>
  <c r="J23" i="22"/>
  <c r="K23" i="22"/>
  <c r="J24" i="22"/>
  <c r="K24" i="22"/>
  <c r="J25" i="22"/>
  <c r="K25" i="22"/>
  <c r="J26" i="22"/>
  <c r="K26" i="22"/>
  <c r="J27" i="22"/>
  <c r="K27" i="22"/>
  <c r="J28" i="22"/>
  <c r="K28" i="22"/>
  <c r="J29" i="22"/>
  <c r="K29" i="22"/>
  <c r="J30" i="22"/>
  <c r="K30" i="22"/>
  <c r="AB30" i="22" s="1"/>
  <c r="J31" i="22"/>
  <c r="K31" i="22"/>
  <c r="J32" i="22"/>
  <c r="K32" i="22"/>
  <c r="J33" i="22"/>
  <c r="K33" i="22"/>
  <c r="J34" i="22"/>
  <c r="K34" i="22"/>
  <c r="J35" i="22"/>
  <c r="K35" i="22"/>
  <c r="Z35" i="22" s="1"/>
  <c r="J37" i="22"/>
  <c r="K37" i="22"/>
  <c r="AB37" i="22" s="1"/>
  <c r="J38" i="22"/>
  <c r="K38" i="22"/>
  <c r="J39" i="22"/>
  <c r="K39" i="22"/>
  <c r="J40" i="22"/>
  <c r="K40" i="22"/>
  <c r="J41" i="22"/>
  <c r="K41" i="22"/>
  <c r="J42" i="22"/>
  <c r="K42" i="22"/>
  <c r="J43" i="22"/>
  <c r="K43" i="22"/>
  <c r="J44" i="22"/>
  <c r="K44" i="22"/>
  <c r="J45" i="22"/>
  <c r="K45" i="22"/>
  <c r="J46" i="22"/>
  <c r="K46" i="22"/>
  <c r="Z46" i="22" s="1"/>
  <c r="J47" i="22"/>
  <c r="K47" i="22"/>
  <c r="J48" i="22"/>
  <c r="K48" i="22"/>
  <c r="J49" i="22"/>
  <c r="O49" i="22" s="1"/>
  <c r="K49" i="22"/>
  <c r="J50" i="22"/>
  <c r="K50" i="22"/>
  <c r="J51" i="22"/>
  <c r="K51" i="22"/>
  <c r="J52" i="22"/>
  <c r="K52" i="22"/>
  <c r="J53" i="22"/>
  <c r="K53" i="22"/>
  <c r="J54" i="22"/>
  <c r="K54" i="22"/>
  <c r="J55" i="22"/>
  <c r="K55" i="22"/>
  <c r="Z55" i="22" s="1"/>
  <c r="J56" i="22"/>
  <c r="K56" i="22"/>
  <c r="J57" i="22"/>
  <c r="K57" i="22"/>
  <c r="AB57" i="22" s="1"/>
  <c r="J58" i="22"/>
  <c r="K58" i="22"/>
  <c r="J59" i="22"/>
  <c r="K59" i="22"/>
  <c r="J60" i="22"/>
  <c r="K60" i="22"/>
  <c r="J61" i="22"/>
  <c r="K61" i="22"/>
  <c r="J62" i="22"/>
  <c r="K62" i="22"/>
  <c r="J63" i="22"/>
  <c r="Q63" i="22" s="1"/>
  <c r="K63" i="22"/>
  <c r="AB63" i="22" s="1"/>
  <c r="J64" i="22"/>
  <c r="K64" i="22"/>
  <c r="Z64" i="22" s="1"/>
  <c r="J65" i="22"/>
  <c r="K65" i="22"/>
  <c r="J66" i="22"/>
  <c r="K66" i="22"/>
  <c r="J67" i="22"/>
  <c r="K67" i="22"/>
  <c r="J68" i="22"/>
  <c r="K68" i="22"/>
  <c r="J69" i="22"/>
  <c r="K69" i="22"/>
  <c r="AB69" i="22" s="1"/>
  <c r="J71" i="22"/>
  <c r="K71" i="22"/>
  <c r="J72" i="22"/>
  <c r="O72" i="22" s="1"/>
  <c r="K72" i="22"/>
  <c r="J73" i="22"/>
  <c r="AE73" i="22" s="1"/>
  <c r="J74" i="22"/>
  <c r="K74" i="22"/>
  <c r="AB74" i="22" s="1"/>
  <c r="J75" i="22"/>
  <c r="K75" i="22"/>
  <c r="J76" i="22"/>
  <c r="K76" i="22"/>
  <c r="J77" i="22"/>
  <c r="K77" i="22"/>
  <c r="J78" i="22"/>
  <c r="O78" i="22" s="1"/>
  <c r="K78" i="22"/>
  <c r="AB78" i="22" s="1"/>
  <c r="J79" i="22"/>
  <c r="K79" i="22"/>
  <c r="J80" i="22"/>
  <c r="K80" i="22"/>
  <c r="J81" i="22"/>
  <c r="K81" i="22"/>
  <c r="AB81" i="22" s="1"/>
  <c r="J82" i="22"/>
  <c r="K82" i="22"/>
  <c r="J83" i="22"/>
  <c r="K83" i="22"/>
  <c r="J84" i="22"/>
  <c r="K84" i="22"/>
  <c r="J85" i="22"/>
  <c r="K85" i="22"/>
  <c r="J86" i="22"/>
  <c r="Q86" i="22" s="1"/>
  <c r="K86" i="22"/>
  <c r="J87" i="22"/>
  <c r="K87" i="22"/>
  <c r="J88" i="22"/>
  <c r="K88" i="22"/>
  <c r="Z88" i="22" s="1"/>
  <c r="J89" i="22"/>
  <c r="K89" i="22"/>
  <c r="J90" i="22"/>
  <c r="K90" i="22"/>
  <c r="J91" i="22"/>
  <c r="M91" i="22" s="1"/>
  <c r="K91" i="22"/>
  <c r="J92" i="22"/>
  <c r="K92" i="22"/>
  <c r="AB92" i="22" s="1"/>
  <c r="J93" i="22"/>
  <c r="K93" i="22"/>
  <c r="J94" i="22"/>
  <c r="K94" i="22"/>
  <c r="J95" i="22"/>
  <c r="K95" i="22"/>
  <c r="J96" i="22"/>
  <c r="K96" i="22"/>
  <c r="J97" i="22"/>
  <c r="K97" i="22"/>
  <c r="J98" i="22"/>
  <c r="K98" i="22"/>
  <c r="Z98" i="22" s="1"/>
  <c r="J99" i="22"/>
  <c r="K99" i="22"/>
  <c r="AB99" i="22" s="1"/>
  <c r="J100" i="22"/>
  <c r="K100" i="22"/>
  <c r="J101" i="22"/>
  <c r="K101" i="22"/>
  <c r="J102" i="22"/>
  <c r="K102" i="22"/>
  <c r="Z102" i="22" s="1"/>
  <c r="J103" i="22"/>
  <c r="K103" i="22"/>
  <c r="J104" i="22"/>
  <c r="K104" i="22"/>
  <c r="J105" i="22"/>
  <c r="K105" i="22"/>
  <c r="J106" i="22"/>
  <c r="O106" i="22" s="1"/>
  <c r="K106" i="22"/>
  <c r="J107" i="22"/>
  <c r="K107" i="22"/>
  <c r="J108" i="22"/>
  <c r="K108" i="22"/>
  <c r="K14" i="21"/>
  <c r="L14" i="21" s="1"/>
  <c r="K15" i="21"/>
  <c r="L15" i="21" s="1"/>
  <c r="K16" i="21"/>
  <c r="L16" i="21" s="1"/>
  <c r="K17" i="21"/>
  <c r="L17" i="21" s="1"/>
  <c r="K18" i="21"/>
  <c r="L18" i="21" s="1"/>
  <c r="K19" i="21"/>
  <c r="L19" i="21" s="1"/>
  <c r="K20" i="21"/>
  <c r="K21" i="21"/>
  <c r="L21" i="21" s="1"/>
  <c r="K22" i="21"/>
  <c r="L22" i="21" s="1"/>
  <c r="K23" i="21"/>
  <c r="L23" i="21" s="1"/>
  <c r="K24" i="21"/>
  <c r="L24" i="21" s="1"/>
  <c r="K25" i="21"/>
  <c r="L25" i="21" s="1"/>
  <c r="K26" i="21"/>
  <c r="L26" i="21" s="1"/>
  <c r="K27" i="21"/>
  <c r="M27" i="21" s="1"/>
  <c r="K28" i="21"/>
  <c r="L28" i="21" s="1"/>
  <c r="K29" i="21"/>
  <c r="L29" i="21" s="1"/>
  <c r="K30" i="21"/>
  <c r="M30" i="21" s="1"/>
  <c r="K31" i="21"/>
  <c r="M31" i="21" s="1"/>
  <c r="K32" i="21"/>
  <c r="M32" i="21" s="1"/>
  <c r="K33" i="21"/>
  <c r="M33" i="21" s="1"/>
  <c r="K34" i="21"/>
  <c r="M34" i="21" s="1"/>
  <c r="K36" i="21"/>
  <c r="M36" i="21" s="1"/>
  <c r="K37" i="21"/>
  <c r="M37" i="21" s="1"/>
  <c r="K38" i="21"/>
  <c r="M38" i="21" s="1"/>
  <c r="K39" i="21"/>
  <c r="M39" i="21" s="1"/>
  <c r="K40" i="21"/>
  <c r="M40" i="21" s="1"/>
  <c r="K41" i="21"/>
  <c r="M41" i="21" s="1"/>
  <c r="K42" i="21"/>
  <c r="M42" i="21" s="1"/>
  <c r="K43" i="21"/>
  <c r="M43" i="21" s="1"/>
  <c r="K44" i="21"/>
  <c r="M44" i="21" s="1"/>
  <c r="K45" i="21"/>
  <c r="M45" i="21" s="1"/>
  <c r="K46" i="21"/>
  <c r="M46" i="21" s="1"/>
  <c r="K47" i="21"/>
  <c r="M47" i="21" s="1"/>
  <c r="K48" i="21"/>
  <c r="M48" i="21" s="1"/>
  <c r="K49" i="21"/>
  <c r="M49" i="21" s="1"/>
  <c r="K50" i="21"/>
  <c r="M50" i="21" s="1"/>
  <c r="K51" i="21"/>
  <c r="M51" i="21" s="1"/>
  <c r="K52" i="21"/>
  <c r="M52" i="21" s="1"/>
  <c r="K53" i="21"/>
  <c r="M53" i="21" s="1"/>
  <c r="K54" i="21"/>
  <c r="M54" i="21" s="1"/>
  <c r="K55" i="21"/>
  <c r="M55" i="21" s="1"/>
  <c r="K56" i="21"/>
  <c r="M56" i="21" s="1"/>
  <c r="K57" i="21"/>
  <c r="M57" i="21" s="1"/>
  <c r="AG49" i="22"/>
  <c r="O88" i="22"/>
  <c r="L20" i="21" l="1"/>
  <c r="O20" i="21"/>
  <c r="AE103" i="22"/>
  <c r="AE101" i="22"/>
  <c r="AE100" i="22"/>
  <c r="AE99" i="22"/>
  <c r="AE97" i="22"/>
  <c r="AE95" i="22"/>
  <c r="AE93" i="22"/>
  <c r="AE92" i="22"/>
  <c r="AE90" i="22"/>
  <c r="AE89" i="22"/>
  <c r="AE88" i="22"/>
  <c r="AE85" i="22"/>
  <c r="AE84" i="22"/>
  <c r="AE83" i="22"/>
  <c r="AE82" i="22"/>
  <c r="AE81" i="22"/>
  <c r="AE80" i="22"/>
  <c r="AE76" i="22"/>
  <c r="AE26" i="22"/>
  <c r="AE79" i="22"/>
  <c r="AE86" i="22"/>
  <c r="AE94" i="22"/>
  <c r="AE108" i="22"/>
  <c r="AE107" i="22"/>
  <c r="AE106" i="22"/>
  <c r="AE105" i="22"/>
  <c r="AE77" i="22"/>
  <c r="AE102" i="22"/>
  <c r="AE98" i="22"/>
  <c r="T36" i="22"/>
  <c r="AM36" i="22" s="1"/>
  <c r="AN36" i="22" s="1"/>
  <c r="AE75" i="22"/>
  <c r="AE74" i="22"/>
  <c r="AE91" i="22"/>
  <c r="AE104" i="22"/>
  <c r="AE87" i="22"/>
  <c r="AE78" i="22"/>
  <c r="R88" i="22"/>
  <c r="S88" i="22" s="1"/>
  <c r="M96" i="22"/>
  <c r="AE96" i="22"/>
  <c r="R49" i="22"/>
  <c r="S49" i="22" s="1"/>
  <c r="M54" i="22"/>
  <c r="R54" i="22" s="1"/>
  <c r="S54" i="22" s="1"/>
  <c r="AE54" i="22"/>
  <c r="M100" i="22"/>
  <c r="R100" i="22" s="1"/>
  <c r="S100" i="22" s="1"/>
  <c r="O96" i="22"/>
  <c r="AE72" i="22"/>
  <c r="AE71" i="22"/>
  <c r="AE69" i="22"/>
  <c r="AE68" i="22"/>
  <c r="AE67" i="22"/>
  <c r="AE66" i="22"/>
  <c r="AE65" i="22"/>
  <c r="AE64" i="22"/>
  <c r="AE63" i="22"/>
  <c r="AE62" i="22"/>
  <c r="AE61" i="22"/>
  <c r="AE60" i="22"/>
  <c r="AE59" i="22"/>
  <c r="AE58" i="22"/>
  <c r="AE57" i="22"/>
  <c r="AE56" i="22"/>
  <c r="AE55" i="22"/>
  <c r="AE53" i="22"/>
  <c r="AE52" i="22"/>
  <c r="AE51" i="22"/>
  <c r="AE50" i="22"/>
  <c r="AE49" i="22"/>
  <c r="AE48" i="22"/>
  <c r="AE47" i="22"/>
  <c r="AE46" i="22"/>
  <c r="AE45" i="22"/>
  <c r="AE44" i="22"/>
  <c r="AE43" i="22"/>
  <c r="AE42" i="22"/>
  <c r="AE41" i="22"/>
  <c r="AE40" i="22"/>
  <c r="AE39" i="22"/>
  <c r="AE38" i="22"/>
  <c r="AE37" i="22"/>
  <c r="AE35" i="22"/>
  <c r="AE34" i="22"/>
  <c r="AE33" i="22"/>
  <c r="AE32" i="22"/>
  <c r="AE31" i="22"/>
  <c r="AE30" i="22"/>
  <c r="AE29" i="22"/>
  <c r="AE28" i="22"/>
  <c r="AE27" i="22"/>
  <c r="AE25" i="22"/>
  <c r="AE24" i="22"/>
  <c r="AE23" i="22"/>
  <c r="AE22" i="22"/>
  <c r="AE21" i="22"/>
  <c r="AE20" i="22"/>
  <c r="AE19" i="22"/>
  <c r="M29" i="21"/>
  <c r="M28" i="21"/>
  <c r="M26" i="21"/>
  <c r="O26" i="21" s="1"/>
  <c r="M23" i="21"/>
  <c r="M19" i="21"/>
  <c r="M17" i="21"/>
  <c r="M15" i="21"/>
  <c r="M24" i="21"/>
  <c r="M21" i="21"/>
  <c r="M18" i="21"/>
  <c r="M16" i="21"/>
  <c r="M104" i="22"/>
  <c r="M22" i="21"/>
  <c r="M20" i="21"/>
  <c r="M14" i="21"/>
  <c r="M25" i="21"/>
  <c r="O25" i="21" s="1"/>
  <c r="Z26" i="22"/>
  <c r="Z27" i="22"/>
  <c r="Z45" i="22"/>
  <c r="Z87" i="22"/>
  <c r="P20" i="21" l="1"/>
  <c r="W20" i="21"/>
  <c r="T88" i="22"/>
  <c r="AI88" i="22"/>
  <c r="T49" i="22"/>
  <c r="AM49" i="22" s="1"/>
  <c r="AN49" i="22" s="1"/>
  <c r="R104" i="22"/>
  <c r="S104" i="22" s="1"/>
  <c r="T100" i="22"/>
  <c r="AM100" i="22" s="1"/>
  <c r="AN100" i="22" s="1"/>
  <c r="T54" i="22"/>
  <c r="AM54" i="22" s="1"/>
  <c r="AN54" i="22" s="1"/>
  <c r="R96" i="22"/>
  <c r="S96" i="22" s="1"/>
  <c r="AG27" i="22"/>
  <c r="AG29" i="22"/>
  <c r="AG32" i="22"/>
  <c r="AG33" i="22"/>
  <c r="AG40" i="22"/>
  <c r="AG43" i="22"/>
  <c r="AG44" i="22"/>
  <c r="AG45" i="22"/>
  <c r="AG48" i="22"/>
  <c r="AG50" i="22"/>
  <c r="AG52" i="22"/>
  <c r="AG53" i="22"/>
  <c r="AG59" i="22"/>
  <c r="AG60" i="22"/>
  <c r="AG63" i="22"/>
  <c r="AG65" i="22"/>
  <c r="AG66" i="22"/>
  <c r="AG71" i="22"/>
  <c r="AG72" i="22"/>
  <c r="AG73" i="22"/>
  <c r="AG75" i="22"/>
  <c r="AG89" i="22"/>
  <c r="AG90" i="22"/>
  <c r="AG91" i="22"/>
  <c r="AG93" i="22"/>
  <c r="AG95" i="22"/>
  <c r="AG97" i="22"/>
  <c r="AG101" i="22"/>
  <c r="AG107" i="22"/>
  <c r="AG108" i="22"/>
  <c r="AM88" i="22" l="1"/>
  <c r="AN88" i="22" s="1"/>
  <c r="T104" i="22"/>
  <c r="AM104" i="22" s="1"/>
  <c r="AN104" i="22" s="1"/>
  <c r="T96" i="22"/>
  <c r="AM96" i="22" s="1"/>
  <c r="AN96" i="22" s="1"/>
  <c r="AG110" i="22"/>
  <c r="O57" i="21"/>
  <c r="O56" i="21"/>
  <c r="O55" i="21"/>
  <c r="O54" i="21"/>
  <c r="O53" i="21"/>
  <c r="O52" i="21"/>
  <c r="O51" i="21"/>
  <c r="O50" i="21"/>
  <c r="O22" i="21"/>
  <c r="P51" i="21" l="1"/>
  <c r="AB51" i="21" s="1"/>
  <c r="AC51" i="21" s="1"/>
  <c r="P53" i="21"/>
  <c r="AB53" i="21" s="1"/>
  <c r="AC53" i="21" s="1"/>
  <c r="O77" i="22"/>
  <c r="Q55" i="22"/>
  <c r="P56" i="21"/>
  <c r="P55" i="21"/>
  <c r="AB55" i="21" s="1"/>
  <c r="P57" i="21"/>
  <c r="P50" i="21"/>
  <c r="AB50" i="21" s="1"/>
  <c r="P54" i="21"/>
  <c r="P52" i="21"/>
  <c r="M51" i="22"/>
  <c r="M97" i="22"/>
  <c r="Q22" i="22"/>
  <c r="M77" i="22"/>
  <c r="P22" i="21"/>
  <c r="AB22" i="21" s="1"/>
  <c r="R22" i="22" l="1"/>
  <c r="S22" i="22" s="1"/>
  <c r="R51" i="22"/>
  <c r="S51" i="22" s="1"/>
  <c r="R97" i="22"/>
  <c r="S97" i="22" s="1"/>
  <c r="R77" i="22"/>
  <c r="S77" i="22" s="1"/>
  <c r="AB54" i="21"/>
  <c r="AC54" i="21" s="1"/>
  <c r="AC50" i="21"/>
  <c r="AC55" i="21"/>
  <c r="AB56" i="21"/>
  <c r="AC56" i="21" s="1"/>
  <c r="AB52" i="21"/>
  <c r="AC52" i="21" s="1"/>
  <c r="AB57" i="21"/>
  <c r="AC57" i="21" s="1"/>
  <c r="AC22" i="21"/>
  <c r="O27" i="21"/>
  <c r="O30" i="21"/>
  <c r="O31" i="21"/>
  <c r="O32" i="21"/>
  <c r="O33" i="21"/>
  <c r="O34" i="21"/>
  <c r="O36" i="21"/>
  <c r="O37" i="21"/>
  <c r="O38" i="21"/>
  <c r="O39" i="21"/>
  <c r="O40" i="21"/>
  <c r="O41" i="21"/>
  <c r="O42" i="21"/>
  <c r="O43" i="21"/>
  <c r="O44" i="21"/>
  <c r="O45" i="21"/>
  <c r="O46" i="21"/>
  <c r="O47" i="21"/>
  <c r="O48" i="21"/>
  <c r="O49" i="21"/>
  <c r="T22" i="22" l="1"/>
  <c r="AM22" i="22" s="1"/>
  <c r="AN22" i="22" s="1"/>
  <c r="T97" i="22"/>
  <c r="T77" i="22"/>
  <c r="AM77" i="22" s="1"/>
  <c r="AN77" i="22" s="1"/>
  <c r="T51" i="22"/>
  <c r="AI51" i="22"/>
  <c r="O24" i="21"/>
  <c r="O17" i="21"/>
  <c r="O15" i="21"/>
  <c r="O21" i="21"/>
  <c r="W21" i="21" s="1"/>
  <c r="O18" i="21"/>
  <c r="O16" i="21"/>
  <c r="O14" i="21"/>
  <c r="AA14" i="21" s="1"/>
  <c r="P37" i="21"/>
  <c r="P48" i="21"/>
  <c r="AB48" i="21" s="1"/>
  <c r="P46" i="21"/>
  <c r="P44" i="21"/>
  <c r="AB44" i="21" s="1"/>
  <c r="P42" i="21"/>
  <c r="P39" i="21"/>
  <c r="AB39" i="21" s="1"/>
  <c r="P49" i="21"/>
  <c r="P47" i="21"/>
  <c r="AB47" i="21" s="1"/>
  <c r="P45" i="21"/>
  <c r="P43" i="21"/>
  <c r="AB43" i="21" s="1"/>
  <c r="P41" i="21"/>
  <c r="P40" i="21"/>
  <c r="AB40" i="21" s="1"/>
  <c r="P38" i="21"/>
  <c r="P36" i="21"/>
  <c r="AB36" i="21" s="1"/>
  <c r="P34" i="21"/>
  <c r="P33" i="21"/>
  <c r="P32" i="21"/>
  <c r="P31" i="21"/>
  <c r="P30" i="21"/>
  <c r="AB30" i="21" s="1"/>
  <c r="O29" i="21"/>
  <c r="P27" i="21"/>
  <c r="AB27" i="21" s="1"/>
  <c r="O23" i="21"/>
  <c r="O19" i="21"/>
  <c r="AM51" i="22" l="1"/>
  <c r="AN51" i="22" s="1"/>
  <c r="AI97" i="22"/>
  <c r="AM97" i="22" s="1"/>
  <c r="AN97" i="22" s="1"/>
  <c r="AB34" i="21"/>
  <c r="AC34" i="21" s="1"/>
  <c r="AC36" i="21"/>
  <c r="AC40" i="21"/>
  <c r="AC43" i="21"/>
  <c r="AC47" i="21"/>
  <c r="AC39" i="21"/>
  <c r="AC44" i="21"/>
  <c r="AC48" i="21"/>
  <c r="AB37" i="21"/>
  <c r="AC37" i="21" s="1"/>
  <c r="AB41" i="21"/>
  <c r="AC41" i="21" s="1"/>
  <c r="AB45" i="21"/>
  <c r="AC45" i="21" s="1"/>
  <c r="AB49" i="21"/>
  <c r="AC49" i="21" s="1"/>
  <c r="AB38" i="21"/>
  <c r="AC38" i="21" s="1"/>
  <c r="AB42" i="21"/>
  <c r="AC42" i="21" s="1"/>
  <c r="AB46" i="21"/>
  <c r="AC46" i="21" s="1"/>
  <c r="AB33" i="21"/>
  <c r="AC33" i="21" s="1"/>
  <c r="AC27" i="21"/>
  <c r="AC30" i="21"/>
  <c r="AB20" i="21"/>
  <c r="AC20" i="21" s="1"/>
  <c r="AB32" i="21"/>
  <c r="AC32" i="21" s="1"/>
  <c r="AB31" i="21"/>
  <c r="AC31" i="21" s="1"/>
  <c r="P16" i="21"/>
  <c r="P21" i="21"/>
  <c r="P15" i="21"/>
  <c r="P24" i="21"/>
  <c r="P14" i="21"/>
  <c r="P18" i="21"/>
  <c r="P25" i="21"/>
  <c r="P17" i="21"/>
  <c r="P26" i="21"/>
  <c r="P29" i="21"/>
  <c r="P23" i="21"/>
  <c r="P19" i="21"/>
  <c r="AB19" i="21" s="1"/>
  <c r="R58" i="21"/>
  <c r="U58" i="21"/>
  <c r="O28" i="21"/>
  <c r="AB16" i="21" l="1"/>
  <c r="AC16" i="21" s="1"/>
  <c r="AB26" i="21"/>
  <c r="AC26" i="21" s="1"/>
  <c r="AB25" i="21"/>
  <c r="AC25" i="21" s="1"/>
  <c r="AB14" i="21"/>
  <c r="AC14" i="21" s="1"/>
  <c r="AB23" i="21"/>
  <c r="AC23" i="21" s="1"/>
  <c r="AC19" i="21"/>
  <c r="AB24" i="21"/>
  <c r="AC24" i="21" s="1"/>
  <c r="AB21" i="21"/>
  <c r="AC21" i="21" s="1"/>
  <c r="AB17" i="21"/>
  <c r="AC17" i="21" s="1"/>
  <c r="AB18" i="21"/>
  <c r="AC18" i="21" s="1"/>
  <c r="AB29" i="21"/>
  <c r="AC29" i="21" s="1"/>
  <c r="P28" i="21"/>
  <c r="AB28" i="21" l="1"/>
  <c r="AC28" i="21" s="1"/>
  <c r="Q50" i="22" l="1"/>
  <c r="O39" i="22"/>
  <c r="O55" i="22"/>
  <c r="O50" i="22"/>
  <c r="R55" i="22" l="1"/>
  <c r="S55" i="22" s="1"/>
  <c r="R39" i="22"/>
  <c r="S39" i="22" s="1"/>
  <c r="R50" i="22"/>
  <c r="S50" i="22" s="1"/>
  <c r="M32" i="22"/>
  <c r="T39" i="22" l="1"/>
  <c r="AM39" i="22" s="1"/>
  <c r="AN39" i="22" s="1"/>
  <c r="R32" i="22"/>
  <c r="S32" i="22" s="1"/>
  <c r="T50" i="22"/>
  <c r="AM50" i="22" s="1"/>
  <c r="AN50" i="22" s="1"/>
  <c r="T55" i="22"/>
  <c r="AJ55" i="22"/>
  <c r="AM55" i="22" l="1"/>
  <c r="AN55" i="22" s="1"/>
  <c r="T32" i="22"/>
  <c r="AI32" i="22"/>
  <c r="Z21" i="22"/>
  <c r="Z68" i="22"/>
  <c r="Z82" i="22"/>
  <c r="E32" i="20"/>
  <c r="D32" i="20"/>
  <c r="C32" i="20"/>
  <c r="E58" i="21"/>
  <c r="K13" i="21"/>
  <c r="AA15" i="21"/>
  <c r="J18" i="22"/>
  <c r="H9" i="22"/>
  <c r="H8" i="22"/>
  <c r="F9" i="22"/>
  <c r="F8" i="22"/>
  <c r="K18" i="22"/>
  <c r="I6" i="22"/>
  <c r="I5" i="22"/>
  <c r="I4" i="22"/>
  <c r="I7" i="22"/>
  <c r="U131" i="19"/>
  <c r="Q131" i="19"/>
  <c r="L131" i="19"/>
  <c r="L133" i="19" s="1"/>
  <c r="I131" i="19"/>
  <c r="I133" i="19" s="1"/>
  <c r="C131" i="19"/>
  <c r="C133" i="19" s="1"/>
  <c r="M130" i="19"/>
  <c r="H130" i="19"/>
  <c r="J130" i="19" s="1"/>
  <c r="N129" i="19"/>
  <c r="N131" i="19" s="1"/>
  <c r="N133" i="19" s="1"/>
  <c r="H129" i="19"/>
  <c r="J129" i="19"/>
  <c r="K129" i="19" s="1"/>
  <c r="H128" i="19"/>
  <c r="J128" i="19" s="1"/>
  <c r="H127" i="19"/>
  <c r="J127" i="19" s="1"/>
  <c r="H126" i="19"/>
  <c r="J126" i="19" s="1"/>
  <c r="H125" i="19"/>
  <c r="J125" i="19" s="1"/>
  <c r="K125" i="19" s="1"/>
  <c r="H124" i="19"/>
  <c r="J124" i="19"/>
  <c r="H123" i="19"/>
  <c r="J123" i="19"/>
  <c r="K123" i="19" s="1"/>
  <c r="W123" i="19" s="1"/>
  <c r="X123" i="19" s="1"/>
  <c r="H122" i="19"/>
  <c r="J122" i="19"/>
  <c r="K122" i="19" s="1"/>
  <c r="H121" i="19"/>
  <c r="J121" i="19" s="1"/>
  <c r="H120" i="19"/>
  <c r="J120" i="19" s="1"/>
  <c r="H119" i="19"/>
  <c r="J119" i="19"/>
  <c r="H118" i="19"/>
  <c r="J118" i="19"/>
  <c r="K118" i="19" s="1"/>
  <c r="H117" i="19"/>
  <c r="J117" i="19" s="1"/>
  <c r="M116" i="19"/>
  <c r="H116" i="19"/>
  <c r="J116" i="19"/>
  <c r="M115" i="19"/>
  <c r="H115" i="19"/>
  <c r="J115" i="19" s="1"/>
  <c r="H114" i="19"/>
  <c r="J114" i="19" s="1"/>
  <c r="H113" i="19"/>
  <c r="J113" i="19" s="1"/>
  <c r="H112" i="19"/>
  <c r="J112" i="19" s="1"/>
  <c r="K112" i="19" s="1"/>
  <c r="H111" i="19"/>
  <c r="J111" i="19"/>
  <c r="H110" i="19"/>
  <c r="J110" i="19" s="1"/>
  <c r="K110" i="19" s="1"/>
  <c r="W110" i="19" s="1"/>
  <c r="X110" i="19" s="1"/>
  <c r="M109" i="19"/>
  <c r="H109" i="19"/>
  <c r="J109" i="19" s="1"/>
  <c r="K109" i="19" s="1"/>
  <c r="M108" i="19"/>
  <c r="H108" i="19"/>
  <c r="J108" i="19" s="1"/>
  <c r="M107" i="19"/>
  <c r="H107" i="19"/>
  <c r="J107" i="19" s="1"/>
  <c r="M106" i="19"/>
  <c r="H106" i="19"/>
  <c r="J106" i="19" s="1"/>
  <c r="M105" i="19"/>
  <c r="H105" i="19"/>
  <c r="J105" i="19" s="1"/>
  <c r="K105" i="19" s="1"/>
  <c r="M104" i="19"/>
  <c r="H104" i="19"/>
  <c r="J104" i="19" s="1"/>
  <c r="K104" i="19" s="1"/>
  <c r="W104" i="19" s="1"/>
  <c r="X104" i="19" s="1"/>
  <c r="M103" i="19"/>
  <c r="H103" i="19"/>
  <c r="J103" i="19" s="1"/>
  <c r="M102" i="19"/>
  <c r="H102" i="19"/>
  <c r="J102" i="19" s="1"/>
  <c r="K102" i="19" s="1"/>
  <c r="M101" i="19"/>
  <c r="H101" i="19"/>
  <c r="J101" i="19" s="1"/>
  <c r="M100" i="19"/>
  <c r="H100" i="19"/>
  <c r="J100" i="19" s="1"/>
  <c r="K100" i="19" s="1"/>
  <c r="M99" i="19"/>
  <c r="H99" i="19"/>
  <c r="J99" i="19" s="1"/>
  <c r="K99" i="19" s="1"/>
  <c r="M98" i="19"/>
  <c r="H98" i="19"/>
  <c r="J98" i="19" s="1"/>
  <c r="M97" i="19"/>
  <c r="H97" i="19"/>
  <c r="J97" i="19" s="1"/>
  <c r="K97" i="19" s="1"/>
  <c r="M96" i="19"/>
  <c r="H96" i="19"/>
  <c r="J96" i="19"/>
  <c r="H95" i="19"/>
  <c r="J95" i="19" s="1"/>
  <c r="K95" i="19" s="1"/>
  <c r="W95" i="19" s="1"/>
  <c r="X95" i="19" s="1"/>
  <c r="H94" i="19"/>
  <c r="J94" i="19" s="1"/>
  <c r="K94" i="19" s="1"/>
  <c r="H93" i="19"/>
  <c r="J93" i="19" s="1"/>
  <c r="K93" i="19" s="1"/>
  <c r="W93" i="19" s="1"/>
  <c r="X93" i="19" s="1"/>
  <c r="M92" i="19"/>
  <c r="H92" i="19"/>
  <c r="J92" i="19" s="1"/>
  <c r="H91" i="19"/>
  <c r="J91" i="19"/>
  <c r="K91" i="19" s="1"/>
  <c r="W91" i="19" s="1"/>
  <c r="X91" i="19" s="1"/>
  <c r="H90" i="19"/>
  <c r="J90" i="19" s="1"/>
  <c r="M89" i="19"/>
  <c r="H89" i="19"/>
  <c r="J89" i="19" s="1"/>
  <c r="M88" i="19"/>
  <c r="M131" i="19" s="1"/>
  <c r="M133" i="19" s="1"/>
  <c r="H88" i="19"/>
  <c r="J88" i="19"/>
  <c r="H87" i="19"/>
  <c r="J87" i="19"/>
  <c r="K87" i="19" s="1"/>
  <c r="W87" i="19" s="1"/>
  <c r="X87" i="19" s="1"/>
  <c r="H86" i="19"/>
  <c r="J86" i="19"/>
  <c r="H85" i="19"/>
  <c r="J85" i="19"/>
  <c r="K85" i="19" s="1"/>
  <c r="H84" i="19"/>
  <c r="J84" i="19" s="1"/>
  <c r="H83" i="19"/>
  <c r="J83" i="19" s="1"/>
  <c r="H82" i="19"/>
  <c r="J82" i="19" s="1"/>
  <c r="H81" i="19"/>
  <c r="J81" i="19" s="1"/>
  <c r="P81" i="19" s="1"/>
  <c r="H80" i="19"/>
  <c r="J80" i="19" s="1"/>
  <c r="H79" i="19"/>
  <c r="J79" i="19" s="1"/>
  <c r="P79" i="19" s="1"/>
  <c r="H78" i="19"/>
  <c r="J78" i="19" s="1"/>
  <c r="H77" i="19"/>
  <c r="J77" i="19" s="1"/>
  <c r="P77" i="19" s="1"/>
  <c r="H76" i="19"/>
  <c r="J76" i="19" s="1"/>
  <c r="H75" i="19"/>
  <c r="J75" i="19" s="1"/>
  <c r="P75" i="19" s="1"/>
  <c r="H74" i="19"/>
  <c r="J74" i="19" s="1"/>
  <c r="H73" i="19"/>
  <c r="S73" i="19" s="1"/>
  <c r="H72" i="19"/>
  <c r="J72" i="19" s="1"/>
  <c r="K72" i="19" s="1"/>
  <c r="H71" i="19"/>
  <c r="H70" i="19"/>
  <c r="J70" i="19" s="1"/>
  <c r="K70" i="19" s="1"/>
  <c r="H69" i="19"/>
  <c r="J69" i="19" s="1"/>
  <c r="K69" i="19" s="1"/>
  <c r="H68" i="19"/>
  <c r="J68" i="19" s="1"/>
  <c r="H67" i="19"/>
  <c r="S67" i="19" s="1"/>
  <c r="H66" i="19"/>
  <c r="J66" i="19" s="1"/>
  <c r="H65" i="19"/>
  <c r="H64" i="19"/>
  <c r="J64" i="19" s="1"/>
  <c r="H63" i="19"/>
  <c r="J63" i="19" s="1"/>
  <c r="H62" i="19"/>
  <c r="J62" i="19" s="1"/>
  <c r="H61" i="19"/>
  <c r="J61" i="19" s="1"/>
  <c r="K61" i="19" s="1"/>
  <c r="H60" i="19"/>
  <c r="J60" i="19" s="1"/>
  <c r="K60" i="19" s="1"/>
  <c r="H59" i="19"/>
  <c r="J59" i="19" s="1"/>
  <c r="H58" i="19"/>
  <c r="J58" i="19" s="1"/>
  <c r="K58" i="19" s="1"/>
  <c r="H57" i="19"/>
  <c r="J57" i="19" s="1"/>
  <c r="H56" i="19"/>
  <c r="J56" i="19" s="1"/>
  <c r="K56" i="19" s="1"/>
  <c r="H55" i="19"/>
  <c r="J55" i="19" s="1"/>
  <c r="H54" i="19"/>
  <c r="J54" i="19" s="1"/>
  <c r="H53" i="19"/>
  <c r="J53" i="19" s="1"/>
  <c r="T53" i="19" s="1"/>
  <c r="H52" i="19"/>
  <c r="J52" i="19" s="1"/>
  <c r="H51" i="19"/>
  <c r="J51" i="19" s="1"/>
  <c r="H50" i="19"/>
  <c r="J50" i="19" s="1"/>
  <c r="H49" i="19"/>
  <c r="J49" i="19" s="1"/>
  <c r="H48" i="19"/>
  <c r="J48" i="19" s="1"/>
  <c r="K48" i="19" s="1"/>
  <c r="H47" i="19"/>
  <c r="J47" i="19" s="1"/>
  <c r="H46" i="19"/>
  <c r="J46" i="19" s="1"/>
  <c r="H45" i="19"/>
  <c r="J45" i="19" s="1"/>
  <c r="H44" i="19"/>
  <c r="J44" i="19" s="1"/>
  <c r="K44" i="19" s="1"/>
  <c r="H43" i="19"/>
  <c r="J43" i="19" s="1"/>
  <c r="H42" i="19"/>
  <c r="J42" i="19" s="1"/>
  <c r="H41" i="19"/>
  <c r="J41" i="19" s="1"/>
  <c r="K41" i="19" s="1"/>
  <c r="M40" i="19"/>
  <c r="H40" i="19"/>
  <c r="J40" i="19" s="1"/>
  <c r="H39" i="19"/>
  <c r="J39" i="19" s="1"/>
  <c r="H38" i="19"/>
  <c r="J38" i="19" s="1"/>
  <c r="K38" i="19" s="1"/>
  <c r="H37" i="19"/>
  <c r="J37" i="19" s="1"/>
  <c r="K37" i="19" s="1"/>
  <c r="H36" i="19"/>
  <c r="J36" i="19" s="1"/>
  <c r="H35" i="19"/>
  <c r="J35" i="19" s="1"/>
  <c r="H34" i="19"/>
  <c r="J34" i="19" s="1"/>
  <c r="K34" i="19" s="1"/>
  <c r="H33" i="19"/>
  <c r="J33" i="19" s="1"/>
  <c r="K33" i="19" s="1"/>
  <c r="H32" i="19"/>
  <c r="J32" i="19" s="1"/>
  <c r="H31" i="19"/>
  <c r="J31" i="19" s="1"/>
  <c r="K31" i="19" s="1"/>
  <c r="W31" i="19" s="1"/>
  <c r="X31" i="19" s="1"/>
  <c r="H30" i="19"/>
  <c r="J30" i="19" s="1"/>
  <c r="K30" i="19" s="1"/>
  <c r="H29" i="19"/>
  <c r="J29" i="19" s="1"/>
  <c r="K29" i="19" s="1"/>
  <c r="H28" i="19"/>
  <c r="J28" i="19" s="1"/>
  <c r="H27" i="19"/>
  <c r="J27" i="19" s="1"/>
  <c r="K27" i="19" s="1"/>
  <c r="W27" i="19" s="1"/>
  <c r="X27" i="19" s="1"/>
  <c r="H26" i="19"/>
  <c r="J26" i="19" s="1"/>
  <c r="K26" i="19" s="1"/>
  <c r="H25" i="19"/>
  <c r="J25" i="19" s="1"/>
  <c r="K25" i="19" s="1"/>
  <c r="H24" i="19"/>
  <c r="J24" i="19" s="1"/>
  <c r="H23" i="19"/>
  <c r="J23" i="19" s="1"/>
  <c r="H22" i="19"/>
  <c r="J22" i="19" s="1"/>
  <c r="K22" i="19" s="1"/>
  <c r="H21" i="19"/>
  <c r="J21" i="19" s="1"/>
  <c r="K21" i="19" s="1"/>
  <c r="H20" i="19"/>
  <c r="J20" i="19" s="1"/>
  <c r="H19" i="19"/>
  <c r="J19" i="19" s="1"/>
  <c r="K19" i="19" s="1"/>
  <c r="W19" i="19" s="1"/>
  <c r="X19" i="19" s="1"/>
  <c r="H18" i="19"/>
  <c r="J18" i="19" s="1"/>
  <c r="K18" i="19" s="1"/>
  <c r="H17" i="19"/>
  <c r="J17" i="19" s="1"/>
  <c r="H16" i="19"/>
  <c r="J16" i="19" s="1"/>
  <c r="K16" i="19" s="1"/>
  <c r="H15" i="19"/>
  <c r="H14" i="19"/>
  <c r="J14" i="19" s="1"/>
  <c r="H13" i="19"/>
  <c r="J13" i="19" s="1"/>
  <c r="H12" i="19"/>
  <c r="J12" i="19" s="1"/>
  <c r="Q117" i="2"/>
  <c r="L117" i="2"/>
  <c r="N117" i="2"/>
  <c r="Q90" i="2"/>
  <c r="Q89" i="2"/>
  <c r="AF69" i="18"/>
  <c r="AF52" i="18"/>
  <c r="AF48" i="18"/>
  <c r="AF46" i="18"/>
  <c r="AF89" i="18" s="1"/>
  <c r="AF44" i="18"/>
  <c r="AF42" i="18"/>
  <c r="AF41" i="18"/>
  <c r="AE24" i="18"/>
  <c r="AE31" i="18"/>
  <c r="AE32" i="18"/>
  <c r="AE36" i="18"/>
  <c r="AE37" i="18"/>
  <c r="AE38" i="18"/>
  <c r="AE43" i="18"/>
  <c r="AE44" i="18"/>
  <c r="AE45" i="18"/>
  <c r="AE46" i="18"/>
  <c r="AE49" i="18"/>
  <c r="AE50" i="18"/>
  <c r="AE51" i="18"/>
  <c r="AE52" i="18"/>
  <c r="AE53" i="18"/>
  <c r="AE56" i="18"/>
  <c r="AE61" i="18"/>
  <c r="AE62" i="18"/>
  <c r="AE64" i="18"/>
  <c r="AE68" i="18"/>
  <c r="AE69" i="18"/>
  <c r="AE70" i="18"/>
  <c r="AE71" i="18"/>
  <c r="AE72" i="18"/>
  <c r="AE74" i="18"/>
  <c r="AE75" i="18"/>
  <c r="AE76" i="18"/>
  <c r="AE77" i="18"/>
  <c r="AE78" i="18"/>
  <c r="AE79" i="18"/>
  <c r="AE80" i="18"/>
  <c r="AE81" i="18"/>
  <c r="AE82" i="18"/>
  <c r="AE83" i="18"/>
  <c r="AE84" i="18"/>
  <c r="AE87" i="18"/>
  <c r="AE88" i="18"/>
  <c r="AB84" i="18"/>
  <c r="AB71" i="18"/>
  <c r="AB53" i="18"/>
  <c r="AB50" i="18"/>
  <c r="AB89" i="18" s="1"/>
  <c r="AB46" i="18"/>
  <c r="AB44" i="18"/>
  <c r="AB38" i="18"/>
  <c r="Z25" i="18"/>
  <c r="Z26" i="18"/>
  <c r="Z27" i="18"/>
  <c r="Z28" i="18"/>
  <c r="Z29" i="18"/>
  <c r="Z30" i="18"/>
  <c r="Z31" i="18"/>
  <c r="Z32" i="18"/>
  <c r="Z33" i="18"/>
  <c r="Z34" i="18"/>
  <c r="Z36" i="18"/>
  <c r="Z37" i="18"/>
  <c r="Z40" i="18"/>
  <c r="Z44" i="18"/>
  <c r="Z45" i="18"/>
  <c r="Z47" i="18"/>
  <c r="Z48" i="18"/>
  <c r="Z49" i="18"/>
  <c r="Z50" i="18"/>
  <c r="Z51" i="18"/>
  <c r="Z52" i="18"/>
  <c r="Z53" i="18"/>
  <c r="Z56" i="18"/>
  <c r="Z61" i="18"/>
  <c r="Z64" i="18"/>
  <c r="Z68" i="18"/>
  <c r="Z72" i="18"/>
  <c r="Z76" i="18"/>
  <c r="Z79" i="18"/>
  <c r="Z88" i="18"/>
  <c r="M22" i="18"/>
  <c r="AN22" i="18" s="1"/>
  <c r="M23" i="18"/>
  <c r="AN23" i="18" s="1"/>
  <c r="M24" i="18"/>
  <c r="M25" i="18"/>
  <c r="AN25" i="18" s="1"/>
  <c r="M26" i="18"/>
  <c r="AN26" i="18" s="1"/>
  <c r="M27" i="18"/>
  <c r="AN27" i="18" s="1"/>
  <c r="M28" i="18"/>
  <c r="AN28" i="18" s="1"/>
  <c r="M29" i="18"/>
  <c r="AN29" i="18" s="1"/>
  <c r="M30" i="18"/>
  <c r="AN30" i="18" s="1"/>
  <c r="M31" i="18"/>
  <c r="AN31" i="18" s="1"/>
  <c r="M32" i="18"/>
  <c r="AN32" i="18" s="1"/>
  <c r="M33" i="18"/>
  <c r="AN33" i="18" s="1"/>
  <c r="M34" i="18"/>
  <c r="AN34" i="18"/>
  <c r="M35" i="18"/>
  <c r="AN35" i="18" s="1"/>
  <c r="M36" i="18"/>
  <c r="AN36" i="18" s="1"/>
  <c r="M37" i="18"/>
  <c r="AN37" i="18" s="1"/>
  <c r="M38" i="18"/>
  <c r="AN38" i="18" s="1"/>
  <c r="M39" i="18"/>
  <c r="AN39" i="18" s="1"/>
  <c r="M40" i="18"/>
  <c r="AN40" i="18" s="1"/>
  <c r="M41" i="18"/>
  <c r="AN41" i="18" s="1"/>
  <c r="M42" i="18"/>
  <c r="AN42" i="18" s="1"/>
  <c r="M43" i="18"/>
  <c r="AN43" i="18" s="1"/>
  <c r="M44" i="18"/>
  <c r="AN44" i="18" s="1"/>
  <c r="M45" i="18"/>
  <c r="AN45" i="18" s="1"/>
  <c r="M46" i="18"/>
  <c r="AN46" i="18" s="1"/>
  <c r="M47" i="18"/>
  <c r="AN47" i="18" s="1"/>
  <c r="M48" i="18"/>
  <c r="AN48" i="18" s="1"/>
  <c r="M49" i="18"/>
  <c r="AN49" i="18" s="1"/>
  <c r="M50" i="18"/>
  <c r="AN50" i="18"/>
  <c r="M51" i="18"/>
  <c r="AN51" i="18" s="1"/>
  <c r="M52" i="18"/>
  <c r="AN52" i="18" s="1"/>
  <c r="M53" i="18"/>
  <c r="AN53" i="18" s="1"/>
  <c r="M54" i="18"/>
  <c r="AN54" i="18" s="1"/>
  <c r="M55" i="18"/>
  <c r="AN55" i="18" s="1"/>
  <c r="M56" i="18"/>
  <c r="AN56" i="18" s="1"/>
  <c r="M57" i="18"/>
  <c r="AN57" i="18" s="1"/>
  <c r="M58" i="18"/>
  <c r="AN58" i="18" s="1"/>
  <c r="M59" i="18"/>
  <c r="AN59" i="18" s="1"/>
  <c r="M60" i="18"/>
  <c r="AN60" i="18" s="1"/>
  <c r="M61" i="18"/>
  <c r="AN61" i="18" s="1"/>
  <c r="M62" i="18"/>
  <c r="AN62" i="18" s="1"/>
  <c r="M63" i="18"/>
  <c r="AN63" i="18" s="1"/>
  <c r="M64" i="18"/>
  <c r="AN64" i="18" s="1"/>
  <c r="M65" i="18"/>
  <c r="AN65" i="18" s="1"/>
  <c r="M66" i="18"/>
  <c r="AN66" i="18"/>
  <c r="M67" i="18"/>
  <c r="AN67" i="18" s="1"/>
  <c r="M68" i="18"/>
  <c r="AN68" i="18" s="1"/>
  <c r="M69" i="18"/>
  <c r="AN69" i="18" s="1"/>
  <c r="M70" i="18"/>
  <c r="AN70" i="18" s="1"/>
  <c r="M71" i="18"/>
  <c r="AN71" i="18" s="1"/>
  <c r="M72" i="18"/>
  <c r="AN72" i="18" s="1"/>
  <c r="M73" i="18"/>
  <c r="AN73" i="18" s="1"/>
  <c r="M74" i="18"/>
  <c r="AN74" i="18" s="1"/>
  <c r="M75" i="18"/>
  <c r="AN75" i="18" s="1"/>
  <c r="M76" i="18"/>
  <c r="AN76" i="18" s="1"/>
  <c r="M77" i="18"/>
  <c r="AN77" i="18" s="1"/>
  <c r="M78" i="18"/>
  <c r="AN78" i="18" s="1"/>
  <c r="M79" i="18"/>
  <c r="AN79" i="18" s="1"/>
  <c r="M80" i="18"/>
  <c r="AN80" i="18" s="1"/>
  <c r="M81" i="18"/>
  <c r="AN81" i="18" s="1"/>
  <c r="M82" i="18"/>
  <c r="AN82" i="18"/>
  <c r="M83" i="18"/>
  <c r="AN83" i="18" s="1"/>
  <c r="M84" i="18"/>
  <c r="AN84" i="18" s="1"/>
  <c r="M85" i="18"/>
  <c r="AN85" i="18" s="1"/>
  <c r="M86" i="18"/>
  <c r="AN86" i="18" s="1"/>
  <c r="M87" i="18"/>
  <c r="AN87" i="18" s="1"/>
  <c r="M88" i="18"/>
  <c r="AN88" i="18" s="1"/>
  <c r="L22" i="18"/>
  <c r="L23" i="18"/>
  <c r="O23" i="18" s="1"/>
  <c r="S23" i="18" s="1"/>
  <c r="AC23" i="18" s="1"/>
  <c r="L24" i="18"/>
  <c r="O24" i="18" s="1"/>
  <c r="S24" i="18" s="1"/>
  <c r="AC24" i="18" s="1"/>
  <c r="L25" i="18"/>
  <c r="O25" i="18" s="1"/>
  <c r="L26" i="18"/>
  <c r="O26" i="18" s="1"/>
  <c r="S26" i="18" s="1"/>
  <c r="L27" i="18"/>
  <c r="L28" i="18"/>
  <c r="L29" i="18"/>
  <c r="Q29" i="18" s="1"/>
  <c r="L30" i="18"/>
  <c r="O30" i="18" s="1"/>
  <c r="S30" i="18" s="1"/>
  <c r="L31" i="18"/>
  <c r="O31" i="18" s="1"/>
  <c r="L32" i="18"/>
  <c r="O32" i="18" s="1"/>
  <c r="L33" i="18"/>
  <c r="O33" i="18" s="1"/>
  <c r="L34" i="18"/>
  <c r="Q34" i="18" s="1"/>
  <c r="L35" i="18"/>
  <c r="Q35" i="18" s="1"/>
  <c r="L36" i="18"/>
  <c r="L37" i="18"/>
  <c r="L38" i="18"/>
  <c r="O38" i="18" s="1"/>
  <c r="S38" i="18" s="1"/>
  <c r="L39" i="18"/>
  <c r="O39" i="18" s="1"/>
  <c r="L40" i="18"/>
  <c r="O40" i="18" s="1"/>
  <c r="L41" i="18"/>
  <c r="O41" i="18" s="1"/>
  <c r="L42" i="18"/>
  <c r="Q42" i="18" s="1"/>
  <c r="S42" i="18" s="1"/>
  <c r="L43" i="18"/>
  <c r="Q43" i="18" s="1"/>
  <c r="L44" i="18"/>
  <c r="Q44" i="18" s="1"/>
  <c r="L45" i="18"/>
  <c r="Q45" i="18" s="1"/>
  <c r="S45" i="18" s="1"/>
  <c r="L46" i="18"/>
  <c r="L47" i="18"/>
  <c r="O47" i="18" s="1"/>
  <c r="L48" i="18"/>
  <c r="L49" i="18"/>
  <c r="O49" i="18"/>
  <c r="L50" i="18"/>
  <c r="Q50" i="18"/>
  <c r="L51" i="18"/>
  <c r="L52" i="18"/>
  <c r="L53" i="18"/>
  <c r="Q53" i="18" s="1"/>
  <c r="L54" i="18"/>
  <c r="L55" i="18"/>
  <c r="O55" i="18"/>
  <c r="AG55" i="18" s="1"/>
  <c r="L56" i="18"/>
  <c r="O56" i="18" s="1"/>
  <c r="L57" i="18"/>
  <c r="O57" i="18" s="1"/>
  <c r="L58" i="18"/>
  <c r="Q58" i="18" s="1"/>
  <c r="L59" i="18"/>
  <c r="O59" i="18" s="1"/>
  <c r="S59" i="18" s="1"/>
  <c r="AK59" i="18" s="1"/>
  <c r="AK89" i="18" s="1"/>
  <c r="U132" i="19" s="1"/>
  <c r="U133" i="19" s="1"/>
  <c r="L60" i="18"/>
  <c r="L61" i="18"/>
  <c r="Q61" i="18" s="1"/>
  <c r="L62" i="18"/>
  <c r="Q62" i="18" s="1"/>
  <c r="L63" i="18"/>
  <c r="Q63" i="18" s="1"/>
  <c r="S63" i="18" s="1"/>
  <c r="L64" i="18"/>
  <c r="O64" i="18"/>
  <c r="AG64" i="18" s="1"/>
  <c r="L65" i="18"/>
  <c r="L66" i="18"/>
  <c r="O66" i="18" s="1"/>
  <c r="S66" i="18" s="1"/>
  <c r="L67" i="18"/>
  <c r="L68" i="18"/>
  <c r="L69" i="18"/>
  <c r="L70" i="18"/>
  <c r="Q70" i="18" s="1"/>
  <c r="S70" i="18" s="1"/>
  <c r="L71" i="18"/>
  <c r="O71" i="18" s="1"/>
  <c r="AG71" i="18" s="1"/>
  <c r="L72" i="18"/>
  <c r="O72" i="18" s="1"/>
  <c r="AG72" i="18" s="1"/>
  <c r="L73" i="18"/>
  <c r="O73" i="18"/>
  <c r="S73" i="18" s="1"/>
  <c r="L74" i="18"/>
  <c r="L75" i="18"/>
  <c r="L76" i="18"/>
  <c r="L77" i="18"/>
  <c r="O77" i="18" s="1"/>
  <c r="S77" i="18" s="1"/>
  <c r="L78" i="18"/>
  <c r="L79" i="18"/>
  <c r="O79" i="18" s="1"/>
  <c r="L80" i="18"/>
  <c r="O80" i="18" s="1"/>
  <c r="L81" i="18"/>
  <c r="O81" i="18" s="1"/>
  <c r="S81" i="18" s="1"/>
  <c r="T81" i="18" s="1"/>
  <c r="L82" i="18"/>
  <c r="L83" i="18"/>
  <c r="L84" i="18"/>
  <c r="L85" i="18"/>
  <c r="O85" i="18" s="1"/>
  <c r="S85" i="18" s="1"/>
  <c r="L86" i="18"/>
  <c r="L87" i="18"/>
  <c r="O87" i="18" s="1"/>
  <c r="L88" i="18"/>
  <c r="O88" i="18" s="1"/>
  <c r="Q131" i="2"/>
  <c r="Q116" i="2"/>
  <c r="Q108" i="2"/>
  <c r="Q109" i="2"/>
  <c r="Q110" i="2"/>
  <c r="Q107" i="2"/>
  <c r="Q105" i="2"/>
  <c r="Q106" i="2"/>
  <c r="Q98" i="2"/>
  <c r="Q99" i="2"/>
  <c r="Q100" i="2"/>
  <c r="Q101" i="2"/>
  <c r="Q102" i="2"/>
  <c r="Q103" i="2"/>
  <c r="Q104" i="2"/>
  <c r="Q97" i="2"/>
  <c r="L14" i="2"/>
  <c r="N14" i="2" s="1"/>
  <c r="O14" i="2" s="1"/>
  <c r="L15" i="2"/>
  <c r="N15" i="2" s="1"/>
  <c r="Z15" i="2" s="1"/>
  <c r="L16" i="2"/>
  <c r="N16" i="2" s="1"/>
  <c r="L17" i="2"/>
  <c r="N17" i="2" s="1"/>
  <c r="L18" i="2"/>
  <c r="N18" i="2" s="1"/>
  <c r="L19" i="2"/>
  <c r="N19" i="2"/>
  <c r="L20" i="2"/>
  <c r="N20" i="2"/>
  <c r="L21" i="2"/>
  <c r="N21" i="2"/>
  <c r="O21" i="2" s="1"/>
  <c r="L22" i="2"/>
  <c r="N22" i="2" s="1"/>
  <c r="L23" i="2"/>
  <c r="N23" i="2" s="1"/>
  <c r="O23" i="2" s="1"/>
  <c r="AA23" i="2" s="1"/>
  <c r="AB23" i="2" s="1"/>
  <c r="L24" i="2"/>
  <c r="N24" i="2" s="1"/>
  <c r="L25" i="2"/>
  <c r="N25" i="2" s="1"/>
  <c r="L26" i="2"/>
  <c r="N26" i="2" s="1"/>
  <c r="L27" i="2"/>
  <c r="N27" i="2" s="1"/>
  <c r="O27" i="2" s="1"/>
  <c r="AA27" i="2" s="1"/>
  <c r="AB27" i="2" s="1"/>
  <c r="L28" i="2"/>
  <c r="N28" i="2" s="1"/>
  <c r="L29" i="2"/>
  <c r="N29" i="2" s="1"/>
  <c r="L30" i="2"/>
  <c r="N30" i="2" s="1"/>
  <c r="L31" i="2"/>
  <c r="N31" i="2" s="1"/>
  <c r="O31" i="2" s="1"/>
  <c r="L32" i="2"/>
  <c r="N32" i="2" s="1"/>
  <c r="L33" i="2"/>
  <c r="N33" i="2" s="1"/>
  <c r="L34" i="2"/>
  <c r="N34" i="2" s="1"/>
  <c r="O34" i="2" s="1"/>
  <c r="L35" i="2"/>
  <c r="N35" i="2" s="1"/>
  <c r="L36" i="2"/>
  <c r="N36" i="2" s="1"/>
  <c r="L37" i="2"/>
  <c r="N37" i="2" s="1"/>
  <c r="L38" i="2"/>
  <c r="N38" i="2" s="1"/>
  <c r="L39" i="2"/>
  <c r="N39" i="2" s="1"/>
  <c r="O39" i="2" s="1"/>
  <c r="L40" i="2"/>
  <c r="N40" i="2" s="1"/>
  <c r="L41" i="2"/>
  <c r="N41" i="2" s="1"/>
  <c r="L42" i="2"/>
  <c r="N42" i="2" s="1"/>
  <c r="L43" i="2"/>
  <c r="N43" i="2" s="1"/>
  <c r="O43" i="2" s="1"/>
  <c r="L44" i="2"/>
  <c r="N44" i="2" s="1"/>
  <c r="L45" i="2"/>
  <c r="N45" i="2" s="1"/>
  <c r="L46" i="2"/>
  <c r="N46" i="2" s="1"/>
  <c r="L47" i="2"/>
  <c r="N47" i="2" s="1"/>
  <c r="O47" i="2" s="1"/>
  <c r="AA47" i="2" s="1"/>
  <c r="AB47" i="2" s="1"/>
  <c r="L48" i="2"/>
  <c r="N48" i="2" s="1"/>
  <c r="L49" i="2"/>
  <c r="N49" i="2" s="1"/>
  <c r="L50" i="2"/>
  <c r="N50" i="2" s="1"/>
  <c r="L51" i="2"/>
  <c r="N51" i="2" s="1"/>
  <c r="L52" i="2"/>
  <c r="N52" i="2" s="1"/>
  <c r="L53" i="2"/>
  <c r="N53" i="2" s="1"/>
  <c r="L54" i="2"/>
  <c r="N54" i="2" s="1"/>
  <c r="L55" i="2"/>
  <c r="N55" i="2" s="1"/>
  <c r="L56" i="2"/>
  <c r="N56" i="2" s="1"/>
  <c r="O56" i="2" s="1"/>
  <c r="L57" i="2"/>
  <c r="N57" i="2" s="1"/>
  <c r="L58" i="2"/>
  <c r="N58" i="2" s="1"/>
  <c r="L59" i="2"/>
  <c r="N59" i="2" s="1"/>
  <c r="L60" i="2"/>
  <c r="N60" i="2" s="1"/>
  <c r="L61" i="2"/>
  <c r="N61" i="2" s="1"/>
  <c r="O61" i="2" s="1"/>
  <c r="L62" i="2"/>
  <c r="N62" i="2" s="1"/>
  <c r="O62" i="2" s="1"/>
  <c r="L63" i="2"/>
  <c r="N63" i="2" s="1"/>
  <c r="L64" i="2"/>
  <c r="N64" i="2" s="1"/>
  <c r="L65" i="2"/>
  <c r="N65" i="2" s="1"/>
  <c r="O65" i="2" s="1"/>
  <c r="L66" i="2"/>
  <c r="N66" i="2" s="1"/>
  <c r="L67" i="2"/>
  <c r="N67" i="2" s="1"/>
  <c r="L68" i="2"/>
  <c r="W68" i="2" s="1"/>
  <c r="L69" i="2"/>
  <c r="N69" i="2" s="1"/>
  <c r="L70" i="2"/>
  <c r="N70" i="2" s="1"/>
  <c r="L71" i="2"/>
  <c r="N71" i="2" s="1"/>
  <c r="L72" i="2"/>
  <c r="N72" i="2" s="1"/>
  <c r="L73" i="2"/>
  <c r="N73" i="2" s="1"/>
  <c r="L74" i="2"/>
  <c r="W74" i="2" s="1"/>
  <c r="L75" i="2"/>
  <c r="N75" i="2" s="1"/>
  <c r="L76" i="2"/>
  <c r="N76" i="2" s="1"/>
  <c r="L77" i="2"/>
  <c r="N77" i="2" s="1"/>
  <c r="L78" i="2"/>
  <c r="N78" i="2" s="1"/>
  <c r="L79" i="2"/>
  <c r="N79" i="2" s="1"/>
  <c r="S79" i="2" s="1"/>
  <c r="L80" i="2"/>
  <c r="N80" i="2" s="1"/>
  <c r="O80" i="2" s="1"/>
  <c r="L81" i="2"/>
  <c r="N81" i="2" s="1"/>
  <c r="T81" i="2" s="1"/>
  <c r="L82" i="2"/>
  <c r="N82" i="2" s="1"/>
  <c r="L83" i="2"/>
  <c r="N83" i="2" s="1"/>
  <c r="S83" i="2" s="1"/>
  <c r="L84" i="2"/>
  <c r="N84" i="2" s="1"/>
  <c r="L85" i="2"/>
  <c r="N85" i="2"/>
  <c r="L86" i="2"/>
  <c r="N86" i="2"/>
  <c r="L87" i="2"/>
  <c r="N87" i="2"/>
  <c r="L88" i="2"/>
  <c r="N88" i="2"/>
  <c r="L89" i="2"/>
  <c r="N89" i="2"/>
  <c r="L90" i="2"/>
  <c r="N90" i="2"/>
  <c r="O90" i="2" s="1"/>
  <c r="AA90" i="2" s="1"/>
  <c r="AB90" i="2" s="1"/>
  <c r="L91" i="2"/>
  <c r="N91" i="2" s="1"/>
  <c r="L93" i="2"/>
  <c r="N93" i="2" s="1"/>
  <c r="L94" i="2"/>
  <c r="N94" i="2" s="1"/>
  <c r="L95" i="2"/>
  <c r="N95" i="2" s="1"/>
  <c r="L96" i="2"/>
  <c r="N96" i="2" s="1"/>
  <c r="L97" i="2"/>
  <c r="N97" i="2" s="1"/>
  <c r="L98" i="2"/>
  <c r="N98" i="2" s="1"/>
  <c r="L99" i="2"/>
  <c r="N99" i="2" s="1"/>
  <c r="O99" i="2" s="1"/>
  <c r="AA99" i="2" s="1"/>
  <c r="AB99" i="2" s="1"/>
  <c r="L100" i="2"/>
  <c r="N100" i="2" s="1"/>
  <c r="L101" i="2"/>
  <c r="N101" i="2" s="1"/>
  <c r="L102" i="2"/>
  <c r="N102" i="2"/>
  <c r="L103" i="2"/>
  <c r="N103" i="2"/>
  <c r="L104" i="2"/>
  <c r="N104" i="2"/>
  <c r="O104" i="2" s="1"/>
  <c r="AA104" i="2" s="1"/>
  <c r="AB104" i="2" s="1"/>
  <c r="L105" i="2"/>
  <c r="N105" i="2" s="1"/>
  <c r="L106" i="2"/>
  <c r="N106" i="2" s="1"/>
  <c r="L107" i="2"/>
  <c r="N107" i="2" s="1"/>
  <c r="L108" i="2"/>
  <c r="N108" i="2" s="1"/>
  <c r="L109" i="2"/>
  <c r="N109" i="2" s="1"/>
  <c r="L110" i="2"/>
  <c r="N110" i="2" s="1"/>
  <c r="O110" i="2" s="1"/>
  <c r="L111" i="2"/>
  <c r="N111" i="2" s="1"/>
  <c r="L112" i="2"/>
  <c r="N112" i="2" s="1"/>
  <c r="L113" i="2"/>
  <c r="N113" i="2" s="1"/>
  <c r="L114" i="2"/>
  <c r="N114" i="2" s="1"/>
  <c r="L115" i="2"/>
  <c r="N115" i="2" s="1"/>
  <c r="O115" i="2" s="1"/>
  <c r="AA115" i="2" s="1"/>
  <c r="AB115" i="2" s="1"/>
  <c r="L116" i="2"/>
  <c r="N116" i="2" s="1"/>
  <c r="O116" i="2" s="1"/>
  <c r="AA116" i="2" s="1"/>
  <c r="AB116" i="2" s="1"/>
  <c r="L118" i="2"/>
  <c r="N118" i="2" s="1"/>
  <c r="L119" i="2"/>
  <c r="N119" i="2" s="1"/>
  <c r="L120" i="2"/>
  <c r="N120" i="2" s="1"/>
  <c r="O120" i="2" s="1"/>
  <c r="L121" i="2"/>
  <c r="N121" i="2" s="1"/>
  <c r="L122" i="2"/>
  <c r="N122" i="2" s="1"/>
  <c r="L123" i="2"/>
  <c r="N123" i="2" s="1"/>
  <c r="T123" i="2" s="1"/>
  <c r="L124" i="2"/>
  <c r="N124" i="2" s="1"/>
  <c r="O124" i="2" s="1"/>
  <c r="L125" i="2"/>
  <c r="N125" i="2" s="1"/>
  <c r="L126" i="2"/>
  <c r="N126" i="2" s="1"/>
  <c r="L127" i="2"/>
  <c r="N127" i="2" s="1"/>
  <c r="O127" i="2" s="1"/>
  <c r="AA127" i="2" s="1"/>
  <c r="AB127" i="2" s="1"/>
  <c r="L128" i="2"/>
  <c r="N128" i="2" s="1"/>
  <c r="O128" i="2" s="1"/>
  <c r="AA128" i="2" s="1"/>
  <c r="AB128" i="2" s="1"/>
  <c r="L129" i="2"/>
  <c r="N129" i="2" s="1"/>
  <c r="O129" i="2" s="1"/>
  <c r="AA129" i="2" s="1"/>
  <c r="AB129" i="2" s="1"/>
  <c r="L130" i="2"/>
  <c r="N130" i="2" s="1"/>
  <c r="O130" i="2" s="1"/>
  <c r="AA130" i="2" s="1"/>
  <c r="AB130" i="2" s="1"/>
  <c r="L131" i="2"/>
  <c r="N131" i="2" s="1"/>
  <c r="O131" i="2" s="1"/>
  <c r="L92" i="2"/>
  <c r="N92" i="2" s="1"/>
  <c r="O92" i="2" s="1"/>
  <c r="AA92" i="2" s="1"/>
  <c r="AB92" i="2" s="1"/>
  <c r="H14" i="18"/>
  <c r="M132" i="2"/>
  <c r="P132" i="2"/>
  <c r="U132" i="2"/>
  <c r="Y132" i="2"/>
  <c r="R130" i="2"/>
  <c r="R132" i="2" s="1"/>
  <c r="H11" i="18"/>
  <c r="H10" i="18"/>
  <c r="H9" i="18"/>
  <c r="Q93" i="2"/>
  <c r="Q41" i="2"/>
  <c r="E132" i="2"/>
  <c r="AA84" i="18"/>
  <c r="AA82" i="18"/>
  <c r="AA78" i="18"/>
  <c r="AA77" i="18"/>
  <c r="AA74" i="18"/>
  <c r="AA64" i="18"/>
  <c r="AA59" i="18"/>
  <c r="AA52" i="18"/>
  <c r="AA51" i="18"/>
  <c r="AA89" i="18" s="1"/>
  <c r="AA46" i="18"/>
  <c r="AA45" i="18"/>
  <c r="AA22" i="18"/>
  <c r="W24" i="18"/>
  <c r="Z24" i="18"/>
  <c r="W23" i="18"/>
  <c r="W25" i="18"/>
  <c r="W26" i="18"/>
  <c r="W27" i="18"/>
  <c r="W28" i="18"/>
  <c r="W29" i="18"/>
  <c r="W30" i="18"/>
  <c r="W31" i="18"/>
  <c r="W32" i="18"/>
  <c r="W33" i="18"/>
  <c r="W34" i="18"/>
  <c r="W35" i="18"/>
  <c r="W36" i="18"/>
  <c r="W37" i="18"/>
  <c r="W38" i="18"/>
  <c r="W39" i="18"/>
  <c r="W40" i="18"/>
  <c r="W41" i="18"/>
  <c r="W42" i="18"/>
  <c r="W43" i="18"/>
  <c r="W44" i="18"/>
  <c r="W45" i="18"/>
  <c r="W46" i="18"/>
  <c r="W47" i="18"/>
  <c r="W48" i="18"/>
  <c r="W49" i="18"/>
  <c r="W50" i="18"/>
  <c r="W51" i="18"/>
  <c r="W52" i="18"/>
  <c r="W53" i="18"/>
  <c r="W54" i="18"/>
  <c r="W55" i="18"/>
  <c r="W56" i="18"/>
  <c r="W57" i="18"/>
  <c r="W58" i="18"/>
  <c r="W59" i="18"/>
  <c r="W60" i="18"/>
  <c r="W61" i="18"/>
  <c r="W62" i="18"/>
  <c r="W63" i="18"/>
  <c r="W64" i="18"/>
  <c r="W65" i="18"/>
  <c r="W66" i="18"/>
  <c r="W67" i="18"/>
  <c r="W68" i="18"/>
  <c r="W69" i="18"/>
  <c r="W70" i="18"/>
  <c r="W71" i="18"/>
  <c r="W72" i="18"/>
  <c r="W73" i="18"/>
  <c r="W74" i="18"/>
  <c r="W75" i="18"/>
  <c r="W76" i="18"/>
  <c r="W77" i="18"/>
  <c r="W78" i="18"/>
  <c r="W79" i="18"/>
  <c r="W80" i="18"/>
  <c r="W81" i="18"/>
  <c r="W82" i="18"/>
  <c r="W83" i="18"/>
  <c r="W84" i="18"/>
  <c r="W85" i="18"/>
  <c r="W86" i="18"/>
  <c r="W87" i="18"/>
  <c r="W88"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W22" i="18"/>
  <c r="M21" i="18"/>
  <c r="AN21" i="18" s="1"/>
  <c r="W60" i="2"/>
  <c r="W62" i="2"/>
  <c r="E22" i="18"/>
  <c r="X89" i="18"/>
  <c r="P89" i="18"/>
  <c r="N89" i="18"/>
  <c r="G8" i="18" s="1"/>
  <c r="Y89" i="18"/>
  <c r="L21" i="18"/>
  <c r="L13" i="2"/>
  <c r="N13" i="2" s="1"/>
  <c r="O13" i="2" s="1"/>
  <c r="AA13" i="2" s="1"/>
  <c r="AB13" i="2" s="1"/>
  <c r="R89" i="18"/>
  <c r="AD89" i="18"/>
  <c r="V89" i="18"/>
  <c r="W21" i="18"/>
  <c r="O51" i="18"/>
  <c r="O35" i="18"/>
  <c r="S35" i="18" s="1"/>
  <c r="O34" i="18"/>
  <c r="S34" i="18" s="1"/>
  <c r="S64" i="18"/>
  <c r="T64" i="18" s="1"/>
  <c r="O82" i="18"/>
  <c r="S82" i="18" s="1"/>
  <c r="T82" i="18" s="1"/>
  <c r="O37" i="18"/>
  <c r="S37" i="18" s="1"/>
  <c r="T37" i="18" s="1"/>
  <c r="O75" i="18"/>
  <c r="S75" i="18" s="1"/>
  <c r="O53" i="18"/>
  <c r="Q56" i="18"/>
  <c r="S56" i="18" s="1"/>
  <c r="O74" i="18"/>
  <c r="S74" i="18" s="1"/>
  <c r="O29" i="18"/>
  <c r="S29" i="18" s="1"/>
  <c r="Q48" i="18"/>
  <c r="S48" i="18" s="1"/>
  <c r="AC48" i="18" s="1"/>
  <c r="O69" i="18"/>
  <c r="O50" i="18"/>
  <c r="S50" i="18" s="1"/>
  <c r="O27" i="18"/>
  <c r="S27" i="18" s="1"/>
  <c r="S40" i="18"/>
  <c r="S51" i="18"/>
  <c r="AC51" i="18" s="1"/>
  <c r="O67" i="18"/>
  <c r="S67" i="18" s="1"/>
  <c r="T45" i="18"/>
  <c r="S32" i="18"/>
  <c r="T32" i="18" s="1"/>
  <c r="S58" i="18"/>
  <c r="AC58" i="18" s="1"/>
  <c r="O43" i="18"/>
  <c r="S43" i="18" s="1"/>
  <c r="Q88" i="18"/>
  <c r="S88" i="18" s="1"/>
  <c r="O83" i="18"/>
  <c r="S83" i="18" s="1"/>
  <c r="S61" i="18"/>
  <c r="S80" i="18"/>
  <c r="S72" i="18"/>
  <c r="T72" i="18" s="1"/>
  <c r="O86" i="18"/>
  <c r="S86" i="18" s="1"/>
  <c r="O78" i="18"/>
  <c r="S78" i="18" s="1"/>
  <c r="AC78" i="18" s="1"/>
  <c r="O62" i="18"/>
  <c r="S62" i="18" s="1"/>
  <c r="O54" i="18"/>
  <c r="S54" i="18" s="1"/>
  <c r="O22" i="18"/>
  <c r="S22" i="18" s="1"/>
  <c r="Q65" i="18"/>
  <c r="S65" i="18" s="1"/>
  <c r="S57" i="18"/>
  <c r="Q49" i="18"/>
  <c r="Q41" i="18"/>
  <c r="S41" i="18" s="1"/>
  <c r="AC41" i="18" s="1"/>
  <c r="Q33" i="18"/>
  <c r="S33" i="18" s="1"/>
  <c r="S25" i="18"/>
  <c r="T25" i="18" s="1"/>
  <c r="O84" i="18"/>
  <c r="S84" i="18" s="1"/>
  <c r="O76" i="18"/>
  <c r="S76" i="18" s="1"/>
  <c r="O68" i="18"/>
  <c r="S68" i="18" s="1"/>
  <c r="O60" i="18"/>
  <c r="S60" i="18" s="1"/>
  <c r="O44" i="18"/>
  <c r="S44" i="18" s="1"/>
  <c r="O36" i="18"/>
  <c r="S36" i="18" s="1"/>
  <c r="O28" i="18"/>
  <c r="S28" i="18" s="1"/>
  <c r="Q87" i="18"/>
  <c r="S87" i="18" s="1"/>
  <c r="S79" i="18"/>
  <c r="S71" i="18"/>
  <c r="S55" i="18"/>
  <c r="S47" i="18"/>
  <c r="Q39" i="18"/>
  <c r="S39" i="18" s="1"/>
  <c r="Q31" i="18"/>
  <c r="E89" i="18"/>
  <c r="W66" i="2"/>
  <c r="O70" i="2"/>
  <c r="AA70" i="2" s="1"/>
  <c r="AB70" i="2" s="1"/>
  <c r="O46" i="2"/>
  <c r="AA46" i="2" s="1"/>
  <c r="AB46" i="2" s="1"/>
  <c r="O35" i="2"/>
  <c r="AA35" i="2" s="1"/>
  <c r="AB35" i="2" s="1"/>
  <c r="V75" i="2"/>
  <c r="V132" i="2" s="1"/>
  <c r="N68" i="2"/>
  <c r="W73" i="2"/>
  <c r="X70" i="2"/>
  <c r="O94" i="2"/>
  <c r="AA94" i="2" s="1"/>
  <c r="AB94" i="2" s="1"/>
  <c r="O89" i="2"/>
  <c r="O37" i="2"/>
  <c r="AA37" i="2" s="1"/>
  <c r="AB37" i="2" s="1"/>
  <c r="H8" i="18"/>
  <c r="AI51" i="18"/>
  <c r="AG78" i="18"/>
  <c r="W72" i="2"/>
  <c r="AC64" i="18"/>
  <c r="AL64" i="18" s="1"/>
  <c r="AM64" i="18" s="1"/>
  <c r="T58" i="18"/>
  <c r="T75" i="18"/>
  <c r="AC75" i="18"/>
  <c r="AL75" i="18" s="1"/>
  <c r="AM75" i="18" s="1"/>
  <c r="AJ75" i="18"/>
  <c r="AH61" i="18"/>
  <c r="AC61" i="18"/>
  <c r="T61" i="18"/>
  <c r="AC45" i="18"/>
  <c r="T51" i="18"/>
  <c r="S69" i="18"/>
  <c r="AG69" i="18" s="1"/>
  <c r="AJ45" i="18"/>
  <c r="AL45" i="18" s="1"/>
  <c r="AM45" i="18" s="1"/>
  <c r="AC47" i="18"/>
  <c r="T47" i="18"/>
  <c r="T24" i="18"/>
  <c r="AI47" i="18"/>
  <c r="AL47" i="18" s="1"/>
  <c r="AM47" i="18" s="1"/>
  <c r="AC71" i="18"/>
  <c r="T71" i="18"/>
  <c r="T57" i="18"/>
  <c r="AC57" i="18"/>
  <c r="AL57" i="18" s="1"/>
  <c r="AM57" i="18" s="1"/>
  <c r="T80" i="18"/>
  <c r="AC80" i="18"/>
  <c r="AL80" i="18" s="1"/>
  <c r="AM80" i="18" s="1"/>
  <c r="T79" i="18"/>
  <c r="T56" i="18"/>
  <c r="AC56" i="18"/>
  <c r="AC72" i="18"/>
  <c r="T23" i="18"/>
  <c r="O68" i="2"/>
  <c r="AA68" i="2" s="1"/>
  <c r="AB68" i="2" s="1"/>
  <c r="AH58" i="18"/>
  <c r="AI24" i="18"/>
  <c r="AH56" i="18"/>
  <c r="T69" i="18"/>
  <c r="O50" i="2"/>
  <c r="AA50" i="2" s="1"/>
  <c r="AB50" i="2" s="1"/>
  <c r="O117" i="2"/>
  <c r="O69" i="2"/>
  <c r="AA69" i="2" s="1"/>
  <c r="AB69" i="2" s="1"/>
  <c r="O60" i="2"/>
  <c r="AA60" i="2" s="1"/>
  <c r="AB60" i="2" s="1"/>
  <c r="O49" i="2"/>
  <c r="AA49" i="2" s="1"/>
  <c r="AB49" i="2" s="1"/>
  <c r="O19" i="2"/>
  <c r="AA19" i="2" s="1"/>
  <c r="AB19" i="2" s="1"/>
  <c r="O59" i="2"/>
  <c r="AA59" i="2" s="1"/>
  <c r="AB59" i="2" s="1"/>
  <c r="X54" i="2"/>
  <c r="O54" i="2"/>
  <c r="AA54" i="2" s="1"/>
  <c r="AB54" i="2" s="1"/>
  <c r="O48" i="2"/>
  <c r="X48" i="2"/>
  <c r="AA48" i="2" s="1"/>
  <c r="AB48" i="2" s="1"/>
  <c r="AA43" i="2"/>
  <c r="AB43" i="2" s="1"/>
  <c r="O30" i="2"/>
  <c r="AA30" i="2" s="1"/>
  <c r="AB30" i="2" s="1"/>
  <c r="X53" i="2"/>
  <c r="O53" i="2"/>
  <c r="AA53" i="2" s="1"/>
  <c r="AB53" i="2" s="1"/>
  <c r="O42" i="2"/>
  <c r="AA42" i="2" s="1"/>
  <c r="AB42" i="2" s="1"/>
  <c r="O29" i="2"/>
  <c r="AA29" i="2" s="1"/>
  <c r="AB29" i="2" s="1"/>
  <c r="T119" i="2"/>
  <c r="O119" i="2"/>
  <c r="AA119" i="2"/>
  <c r="AB119" i="2" s="1"/>
  <c r="O63" i="2"/>
  <c r="AA63" i="2" s="1"/>
  <c r="AB63" i="2" s="1"/>
  <c r="O52" i="2"/>
  <c r="X52" i="2"/>
  <c r="O41" i="2"/>
  <c r="AA41" i="2" s="1"/>
  <c r="AB41" i="2" s="1"/>
  <c r="O28" i="2"/>
  <c r="AA28" i="2"/>
  <c r="AB28" i="2" s="1"/>
  <c r="O17" i="2"/>
  <c r="Z17" i="2"/>
  <c r="AA17" i="2" s="1"/>
  <c r="AB17" i="2" s="1"/>
  <c r="O40" i="2"/>
  <c r="AA40" i="2" s="1"/>
  <c r="AB40" i="2" s="1"/>
  <c r="O16" i="2"/>
  <c r="AA16" i="2" s="1"/>
  <c r="AB16" i="2" s="1"/>
  <c r="O66" i="2"/>
  <c r="AA66" i="2" s="1"/>
  <c r="AB66" i="2" s="1"/>
  <c r="S78" i="2"/>
  <c r="O45" i="2"/>
  <c r="AA45" i="2" s="1"/>
  <c r="AB45" i="2" s="1"/>
  <c r="O38" i="2"/>
  <c r="AA38" i="2"/>
  <c r="AB38" i="2" s="1"/>
  <c r="O33" i="2"/>
  <c r="AA33" i="2" s="1"/>
  <c r="AB33" i="2" s="1"/>
  <c r="O26" i="2"/>
  <c r="AA26" i="2" s="1"/>
  <c r="AB26" i="2" s="1"/>
  <c r="O96" i="2"/>
  <c r="AA96" i="2"/>
  <c r="AB96" i="2" s="1"/>
  <c r="O85" i="2"/>
  <c r="O32" i="2"/>
  <c r="AA32" i="2" s="1"/>
  <c r="AB32" i="2" s="1"/>
  <c r="O25" i="2"/>
  <c r="AA25" i="2" s="1"/>
  <c r="AB25" i="2" s="1"/>
  <c r="O15" i="2"/>
  <c r="AA15" i="2" s="1"/>
  <c r="AB15" i="2" s="1"/>
  <c r="AA34" i="2"/>
  <c r="AB34" i="2" s="1"/>
  <c r="T120" i="2"/>
  <c r="AA120" i="2" s="1"/>
  <c r="AB120" i="2" s="1"/>
  <c r="W71" i="2"/>
  <c r="N74" i="2"/>
  <c r="O24" i="2"/>
  <c r="AA24" i="2" s="1"/>
  <c r="AB24" i="2" s="1"/>
  <c r="AA61" i="2"/>
  <c r="AB61" i="2" s="1"/>
  <c r="O74" i="2"/>
  <c r="O36" i="2"/>
  <c r="AA36" i="2" s="1"/>
  <c r="AB36" i="2" s="1"/>
  <c r="V14" i="19"/>
  <c r="W14" i="19" s="1"/>
  <c r="X14" i="19" s="1"/>
  <c r="K14" i="19"/>
  <c r="K23" i="19"/>
  <c r="K28" i="19"/>
  <c r="W28" i="19" s="1"/>
  <c r="X28" i="19" s="1"/>
  <c r="K39" i="19"/>
  <c r="K46" i="19"/>
  <c r="W46" i="19" s="1"/>
  <c r="X46" i="19" s="1"/>
  <c r="K59" i="19"/>
  <c r="K24" i="19"/>
  <c r="W24" i="19" s="1"/>
  <c r="X24" i="19" s="1"/>
  <c r="K40" i="19"/>
  <c r="W40" i="19" s="1"/>
  <c r="X40" i="19" s="1"/>
  <c r="K42" i="19"/>
  <c r="W42" i="19" s="1"/>
  <c r="X42" i="19" s="1"/>
  <c r="T47" i="19"/>
  <c r="K47" i="19"/>
  <c r="W47" i="19" s="1"/>
  <c r="X47" i="19" s="1"/>
  <c r="K50" i="19"/>
  <c r="W50" i="19" s="1"/>
  <c r="X50" i="19" s="1"/>
  <c r="V17" i="19"/>
  <c r="K17" i="19"/>
  <c r="K20" i="19"/>
  <c r="W20" i="19" s="1"/>
  <c r="X20" i="19" s="1"/>
  <c r="K36" i="19"/>
  <c r="W36" i="19" s="1"/>
  <c r="X36" i="19" s="1"/>
  <c r="K43" i="19"/>
  <c r="W43" i="19" s="1"/>
  <c r="X43" i="19" s="1"/>
  <c r="T52" i="19"/>
  <c r="K52" i="19"/>
  <c r="K62" i="19"/>
  <c r="W62" i="19" s="1"/>
  <c r="X62" i="19" s="1"/>
  <c r="W12" i="19"/>
  <c r="X12" i="19" s="1"/>
  <c r="K12" i="19"/>
  <c r="K32" i="19"/>
  <c r="W32" i="19"/>
  <c r="X32" i="19" s="1"/>
  <c r="T54" i="19"/>
  <c r="K54" i="19"/>
  <c r="W54" i="19" s="1"/>
  <c r="X54" i="19" s="1"/>
  <c r="V16" i="19"/>
  <c r="W16" i="19" s="1"/>
  <c r="X16" i="19" s="1"/>
  <c r="W18" i="19"/>
  <c r="X18" i="19" s="1"/>
  <c r="W22" i="19"/>
  <c r="X22" i="19" s="1"/>
  <c r="W26" i="19"/>
  <c r="X26" i="19" s="1"/>
  <c r="W30" i="19"/>
  <c r="X30" i="19" s="1"/>
  <c r="W34" i="19"/>
  <c r="X34" i="19" s="1"/>
  <c r="W38" i="19"/>
  <c r="X38" i="19" s="1"/>
  <c r="W41" i="19"/>
  <c r="X41" i="19" s="1"/>
  <c r="W48" i="19"/>
  <c r="X48" i="19" s="1"/>
  <c r="T56" i="19"/>
  <c r="W56" i="19" s="1"/>
  <c r="X56" i="19" s="1"/>
  <c r="W58" i="19"/>
  <c r="X58" i="19" s="1"/>
  <c r="K63" i="19"/>
  <c r="W63" i="19" s="1"/>
  <c r="X63" i="19" s="1"/>
  <c r="O75" i="19"/>
  <c r="K75" i="19"/>
  <c r="K80" i="19"/>
  <c r="P80" i="19"/>
  <c r="O80" i="19"/>
  <c r="W99" i="19"/>
  <c r="X99" i="19" s="1"/>
  <c r="W102" i="19"/>
  <c r="X102" i="19" s="1"/>
  <c r="K111" i="19"/>
  <c r="W111" i="19" s="1"/>
  <c r="X111" i="19" s="1"/>
  <c r="P117" i="19"/>
  <c r="K117" i="19"/>
  <c r="W117" i="19" s="1"/>
  <c r="X117" i="19" s="1"/>
  <c r="S59" i="19"/>
  <c r="O79" i="19"/>
  <c r="W79" i="19" s="1"/>
  <c r="X79" i="19" s="1"/>
  <c r="K79" i="19"/>
  <c r="K84" i="19"/>
  <c r="P84" i="19"/>
  <c r="O84" i="19"/>
  <c r="K92" i="19"/>
  <c r="W92" i="19" s="1"/>
  <c r="X92" i="19" s="1"/>
  <c r="W94" i="19"/>
  <c r="X94" i="19" s="1"/>
  <c r="W97" i="19"/>
  <c r="X97" i="19" s="1"/>
  <c r="W100" i="19"/>
  <c r="X100" i="19" s="1"/>
  <c r="K108" i="19"/>
  <c r="K126" i="19"/>
  <c r="W126" i="19"/>
  <c r="X126" i="19" s="1"/>
  <c r="K68" i="19"/>
  <c r="W68" i="19" s="1"/>
  <c r="X68" i="19" s="1"/>
  <c r="J71" i="19"/>
  <c r="S71" i="19"/>
  <c r="O83" i="19"/>
  <c r="K83" i="19"/>
  <c r="K89" i="19"/>
  <c r="W89" i="19" s="1"/>
  <c r="X89" i="19" s="1"/>
  <c r="K114" i="19"/>
  <c r="W114" i="19" s="1"/>
  <c r="X114" i="19" s="1"/>
  <c r="P121" i="19"/>
  <c r="K121" i="19"/>
  <c r="K124" i="19"/>
  <c r="W124" i="19" s="1"/>
  <c r="X124" i="19" s="1"/>
  <c r="K127" i="19"/>
  <c r="W127" i="19" s="1"/>
  <c r="X127" i="19" s="1"/>
  <c r="J73" i="19"/>
  <c r="K73" i="19" s="1"/>
  <c r="K76" i="19"/>
  <c r="P76" i="19"/>
  <c r="O76" i="19"/>
  <c r="P83" i="19"/>
  <c r="K106" i="19"/>
  <c r="K115" i="19"/>
  <c r="W115" i="19"/>
  <c r="X115" i="19" s="1"/>
  <c r="P119" i="19"/>
  <c r="K119" i="19"/>
  <c r="W119" i="19" s="1"/>
  <c r="X119" i="19" s="1"/>
  <c r="K128" i="19"/>
  <c r="W128" i="19" s="1"/>
  <c r="X128" i="19" s="1"/>
  <c r="K130" i="19"/>
  <c r="P118" i="19"/>
  <c r="W118" i="19" s="1"/>
  <c r="X118" i="19" s="1"/>
  <c r="P122" i="19"/>
  <c r="W122" i="19" s="1"/>
  <c r="X122" i="19" s="1"/>
  <c r="W59" i="19"/>
  <c r="X59" i="19" s="1"/>
  <c r="W75" i="19"/>
  <c r="X75" i="19" s="1"/>
  <c r="I8" i="22"/>
  <c r="AI41" i="18"/>
  <c r="T41" i="18"/>
  <c r="T78" i="18"/>
  <c r="AL78" i="18"/>
  <c r="AM78" i="18" s="1"/>
  <c r="AC50" i="18"/>
  <c r="T50" i="18"/>
  <c r="AL50" i="18" s="1"/>
  <c r="AM50" i="18" s="1"/>
  <c r="AI37" i="18"/>
  <c r="AC37" i="18"/>
  <c r="AC82" i="18"/>
  <c r="AI35" i="18"/>
  <c r="T35" i="18"/>
  <c r="AC35" i="18"/>
  <c r="O126" i="2"/>
  <c r="AA126" i="2" s="1"/>
  <c r="AB126" i="2" s="1"/>
  <c r="O118" i="2"/>
  <c r="T118" i="2"/>
  <c r="O108" i="2"/>
  <c r="AA108" i="2" s="1"/>
  <c r="AB108" i="2" s="1"/>
  <c r="O105" i="2"/>
  <c r="AA105" i="2" s="1"/>
  <c r="AB105" i="2" s="1"/>
  <c r="O102" i="2"/>
  <c r="AA102" i="2" s="1"/>
  <c r="AB102" i="2" s="1"/>
  <c r="O93" i="2"/>
  <c r="AA93" i="2" s="1"/>
  <c r="AB93" i="2" s="1"/>
  <c r="O88" i="2"/>
  <c r="AA88" i="2" s="1"/>
  <c r="AB88" i="2" s="1"/>
  <c r="S86" i="2"/>
  <c r="O84" i="2"/>
  <c r="T84" i="2"/>
  <c r="S84" i="2"/>
  <c r="S82" i="2"/>
  <c r="T82" i="2"/>
  <c r="O82" i="2"/>
  <c r="T80" i="2"/>
  <c r="S80" i="2"/>
  <c r="O78" i="2"/>
  <c r="T78" i="2"/>
  <c r="T76" i="2"/>
  <c r="O76" i="2"/>
  <c r="S76" i="2"/>
  <c r="AA76" i="2" s="1"/>
  <c r="AB76" i="2" s="1"/>
  <c r="O72" i="2"/>
  <c r="AA72" i="2"/>
  <c r="AB72" i="2" s="1"/>
  <c r="AA74" i="2"/>
  <c r="AB74" i="2" s="1"/>
  <c r="AC86" i="18"/>
  <c r="T86" i="18"/>
  <c r="AL86" i="18" s="1"/>
  <c r="AM86" i="18" s="1"/>
  <c r="T27" i="18"/>
  <c r="AC27" i="18"/>
  <c r="AC29" i="18"/>
  <c r="AI29" i="18"/>
  <c r="T29" i="18"/>
  <c r="O125" i="2"/>
  <c r="AA125" i="2" s="1"/>
  <c r="AB125" i="2" s="1"/>
  <c r="O123" i="2"/>
  <c r="AA123" i="2" s="1"/>
  <c r="AB123" i="2" s="1"/>
  <c r="O121" i="2"/>
  <c r="T121" i="2"/>
  <c r="O109" i="2"/>
  <c r="AA109" i="2"/>
  <c r="AB109" i="2" s="1"/>
  <c r="O106" i="2"/>
  <c r="AA106" i="2" s="1"/>
  <c r="AB106" i="2" s="1"/>
  <c r="O103" i="2"/>
  <c r="AA103" i="2" s="1"/>
  <c r="AB103" i="2" s="1"/>
  <c r="O100" i="2"/>
  <c r="AA100" i="2" s="1"/>
  <c r="AB100" i="2" s="1"/>
  <c r="O98" i="2"/>
  <c r="O91" i="2"/>
  <c r="AA91" i="2" s="1"/>
  <c r="AB91" i="2" s="1"/>
  <c r="S87" i="2"/>
  <c r="O87" i="2"/>
  <c r="T87" i="2"/>
  <c r="S85" i="2"/>
  <c r="AA85" i="2" s="1"/>
  <c r="AB85" i="2" s="1"/>
  <c r="T85" i="2"/>
  <c r="O81" i="2"/>
  <c r="S81" i="2"/>
  <c r="O79" i="2"/>
  <c r="T77" i="2"/>
  <c r="O75" i="2"/>
  <c r="AA75" i="2" s="1"/>
  <c r="AB75" i="2" s="1"/>
  <c r="O73" i="2"/>
  <c r="AA73" i="2" s="1"/>
  <c r="AB73" i="2" s="1"/>
  <c r="O71" i="2"/>
  <c r="AA71" i="2" s="1"/>
  <c r="AB71" i="2" s="1"/>
  <c r="T69" i="19"/>
  <c r="K81" i="19"/>
  <c r="O86" i="19"/>
  <c r="K86" i="19"/>
  <c r="P86" i="19"/>
  <c r="W86" i="19" s="1"/>
  <c r="X86" i="19" s="1"/>
  <c r="AA52" i="2"/>
  <c r="AB52" i="2" s="1"/>
  <c r="AA65" i="2"/>
  <c r="AB65" i="2" s="1"/>
  <c r="AA62" i="2"/>
  <c r="AB62" i="2" s="1"/>
  <c r="AA56" i="2"/>
  <c r="AB56" i="2" s="1"/>
  <c r="AA21" i="2"/>
  <c r="AB21" i="2" s="1"/>
  <c r="V13" i="19"/>
  <c r="V131" i="19" s="1"/>
  <c r="V133" i="19" s="1"/>
  <c r="K13" i="19"/>
  <c r="W13" i="19" s="1"/>
  <c r="T51" i="19"/>
  <c r="K51" i="19"/>
  <c r="K55" i="19"/>
  <c r="W55" i="19" s="1"/>
  <c r="X55" i="19" s="1"/>
  <c r="K64" i="19"/>
  <c r="W64" i="19" s="1"/>
  <c r="X64" i="19" s="1"/>
  <c r="K66" i="19"/>
  <c r="W66" i="19" s="1"/>
  <c r="X66" i="19" s="1"/>
  <c r="K74" i="19"/>
  <c r="K78" i="19"/>
  <c r="W78" i="19" s="1"/>
  <c r="X78" i="19" s="1"/>
  <c r="P78" i="19"/>
  <c r="O78" i="19"/>
  <c r="K82" i="19"/>
  <c r="P82" i="19"/>
  <c r="O82" i="19"/>
  <c r="O85" i="19"/>
  <c r="K88" i="19"/>
  <c r="K96" i="19"/>
  <c r="W96" i="19" s="1"/>
  <c r="X96" i="19" s="1"/>
  <c r="K98" i="19"/>
  <c r="W98" i="19" s="1"/>
  <c r="X98" i="19" s="1"/>
  <c r="K101" i="19"/>
  <c r="W101" i="19" s="1"/>
  <c r="X101" i="19" s="1"/>
  <c r="K103" i="19"/>
  <c r="W103" i="19" s="1"/>
  <c r="X103" i="19" s="1"/>
  <c r="K107" i="19"/>
  <c r="W107" i="19" s="1"/>
  <c r="X107" i="19" s="1"/>
  <c r="W21" i="19"/>
  <c r="X21" i="19" s="1"/>
  <c r="W25" i="19"/>
  <c r="X25" i="19" s="1"/>
  <c r="W29" i="19"/>
  <c r="X29" i="19" s="1"/>
  <c r="W33" i="19"/>
  <c r="X33" i="19" s="1"/>
  <c r="W37" i="19"/>
  <c r="X37" i="19" s="1"/>
  <c r="W44" i="19"/>
  <c r="X44" i="19" s="1"/>
  <c r="W60" i="19"/>
  <c r="X60" i="19" s="1"/>
  <c r="J67" i="19"/>
  <c r="K67" i="19" s="1"/>
  <c r="S72" i="19"/>
  <c r="W72" i="19" s="1"/>
  <c r="X72" i="19" s="1"/>
  <c r="R74" i="19"/>
  <c r="K90" i="19"/>
  <c r="W90" i="19"/>
  <c r="X90" i="19" s="1"/>
  <c r="W105" i="19"/>
  <c r="X105" i="19" s="1"/>
  <c r="W109" i="19"/>
  <c r="X109" i="19" s="1"/>
  <c r="W112" i="19"/>
  <c r="X112" i="19" s="1"/>
  <c r="AL29" i="18"/>
  <c r="AM29" i="18" s="1"/>
  <c r="AL27" i="18"/>
  <c r="AM27" i="18"/>
  <c r="AA78" i="2"/>
  <c r="AB78" i="2" s="1"/>
  <c r="AL82" i="18"/>
  <c r="AM82" i="18"/>
  <c r="AL37" i="18"/>
  <c r="AM37" i="18" s="1"/>
  <c r="AL35" i="18"/>
  <c r="AM35" i="18" s="1"/>
  <c r="AL41" i="18"/>
  <c r="AM41" i="18" s="1"/>
  <c r="AC77" i="18" l="1"/>
  <c r="T77" i="18"/>
  <c r="T33" i="18"/>
  <c r="AC33" i="18"/>
  <c r="AL33" i="18" s="1"/>
  <c r="AM33" i="18" s="1"/>
  <c r="AC34" i="18"/>
  <c r="AL34" i="18" s="1"/>
  <c r="AM34" i="18" s="1"/>
  <c r="T34" i="18"/>
  <c r="AI34" i="18"/>
  <c r="O51" i="2"/>
  <c r="AA51" i="2"/>
  <c r="AB51" i="2" s="1"/>
  <c r="O20" i="2"/>
  <c r="AA20" i="2" s="1"/>
  <c r="AB20" i="2" s="1"/>
  <c r="T73" i="18"/>
  <c r="AC73" i="18"/>
  <c r="AJ73" i="18"/>
  <c r="AL73" i="18" s="1"/>
  <c r="AM73" i="18" s="1"/>
  <c r="AC42" i="18"/>
  <c r="AI42" i="18"/>
  <c r="K113" i="19"/>
  <c r="W113" i="19" s="1"/>
  <c r="X113" i="19" s="1"/>
  <c r="W51" i="19"/>
  <c r="X51" i="19" s="1"/>
  <c r="O77" i="19"/>
  <c r="O131" i="19" s="1"/>
  <c r="O133" i="19" s="1"/>
  <c r="T79" i="2"/>
  <c r="T132" i="2" s="1"/>
  <c r="T83" i="2"/>
  <c r="AA98" i="2"/>
  <c r="AB98" i="2" s="1"/>
  <c r="T59" i="18"/>
  <c r="AA124" i="2"/>
  <c r="AB124" i="2" s="1"/>
  <c r="W129" i="19"/>
  <c r="X129" i="19" s="1"/>
  <c r="P85" i="19"/>
  <c r="P131" i="19" s="1"/>
  <c r="P133" i="19" s="1"/>
  <c r="K49" i="19"/>
  <c r="W49" i="19" s="1"/>
  <c r="X49" i="19" s="1"/>
  <c r="L132" i="2"/>
  <c r="AC81" i="18"/>
  <c r="S31" i="18"/>
  <c r="T67" i="18"/>
  <c r="AC67" i="18"/>
  <c r="AH67" i="18"/>
  <c r="T74" i="18"/>
  <c r="AC74" i="18"/>
  <c r="AL74" i="18" s="1"/>
  <c r="AM74" i="18" s="1"/>
  <c r="O21" i="18"/>
  <c r="L89" i="18"/>
  <c r="AA131" i="2"/>
  <c r="AB131" i="2" s="1"/>
  <c r="O58" i="2"/>
  <c r="AA58" i="2" s="1"/>
  <c r="AB58" i="2" s="1"/>
  <c r="X58" i="2"/>
  <c r="AN24" i="18"/>
  <c r="M89" i="18"/>
  <c r="Z89" i="18"/>
  <c r="AE89" i="18"/>
  <c r="J15" i="19"/>
  <c r="H131" i="19"/>
  <c r="W23" i="19"/>
  <c r="X23" i="19" s="1"/>
  <c r="K35" i="19"/>
  <c r="W35" i="19"/>
  <c r="X35" i="19" s="1"/>
  <c r="W39" i="19"/>
  <c r="X39" i="19" s="1"/>
  <c r="AA79" i="2"/>
  <c r="AB79" i="2" s="1"/>
  <c r="AC55" i="18"/>
  <c r="T55" i="18"/>
  <c r="AL55" i="18" s="1"/>
  <c r="AM55" i="18" s="1"/>
  <c r="AA14" i="2"/>
  <c r="AG70" i="18"/>
  <c r="AL70" i="18" s="1"/>
  <c r="AM70" i="18" s="1"/>
  <c r="AC70" i="18"/>
  <c r="Q46" i="18"/>
  <c r="O46" i="18"/>
  <c r="S46" i="18" s="1"/>
  <c r="T46" i="18" s="1"/>
  <c r="S65" i="19"/>
  <c r="J65" i="19"/>
  <c r="K65" i="19" s="1"/>
  <c r="K116" i="19"/>
  <c r="W116" i="19"/>
  <c r="X116" i="19" s="1"/>
  <c r="K53" i="19"/>
  <c r="K77" i="19"/>
  <c r="W77" i="19" s="1"/>
  <c r="X77" i="19" s="1"/>
  <c r="O83" i="2"/>
  <c r="AC59" i="18"/>
  <c r="W125" i="19"/>
  <c r="X125" i="19" s="1"/>
  <c r="K71" i="19"/>
  <c r="W71" i="19"/>
  <c r="X71" i="19" s="1"/>
  <c r="AL24" i="18"/>
  <c r="AM24" i="18" s="1"/>
  <c r="AC32" i="18"/>
  <c r="AL32" i="18" s="1"/>
  <c r="AM32" i="18" s="1"/>
  <c r="AC39" i="18"/>
  <c r="AI39" i="18"/>
  <c r="AL39" i="18" s="1"/>
  <c r="AM39" i="18" s="1"/>
  <c r="T39" i="18"/>
  <c r="AJ79" i="18"/>
  <c r="AC79" i="18"/>
  <c r="S49" i="18"/>
  <c r="O122" i="2"/>
  <c r="T122" i="2"/>
  <c r="AA122" i="2" s="1"/>
  <c r="AB122" i="2" s="1"/>
  <c r="AA81" i="2"/>
  <c r="AB81" i="2" s="1"/>
  <c r="S77" i="2"/>
  <c r="AA77" i="2" s="1"/>
  <c r="AB77" i="2" s="1"/>
  <c r="O77" i="2"/>
  <c r="X57" i="2"/>
  <c r="O57" i="2"/>
  <c r="AA57" i="2"/>
  <c r="AB57" i="2" s="1"/>
  <c r="O55" i="2"/>
  <c r="X55" i="2"/>
  <c r="AA55" i="2"/>
  <c r="AB55" i="2" s="1"/>
  <c r="Z18" i="2"/>
  <c r="O18" i="2"/>
  <c r="AC63" i="18"/>
  <c r="T63" i="18"/>
  <c r="Q52" i="18"/>
  <c r="Q89" i="18" s="1"/>
  <c r="O52" i="18"/>
  <c r="K45" i="19"/>
  <c r="W45" i="19"/>
  <c r="X45" i="19" s="1"/>
  <c r="T57" i="19"/>
  <c r="W57" i="19" s="1"/>
  <c r="X57" i="19" s="1"/>
  <c r="K57" i="19"/>
  <c r="K120" i="19"/>
  <c r="P120" i="19"/>
  <c r="W120" i="19" s="1"/>
  <c r="X120" i="19" s="1"/>
  <c r="W74" i="19"/>
  <c r="X74" i="19" s="1"/>
  <c r="W88" i="19"/>
  <c r="X88" i="19" s="1"/>
  <c r="O81" i="19"/>
  <c r="AA121" i="2"/>
  <c r="AB121" i="2" s="1"/>
  <c r="W130" i="19"/>
  <c r="X130" i="19" s="1"/>
  <c r="Z14" i="2"/>
  <c r="AA39" i="2"/>
  <c r="AB39" i="2" s="1"/>
  <c r="AA31" i="2"/>
  <c r="AB31" i="2" s="1"/>
  <c r="T70" i="18"/>
  <c r="T42" i="18"/>
  <c r="AI25" i="18"/>
  <c r="AC25" i="18"/>
  <c r="AL25" i="18" s="1"/>
  <c r="AM25" i="18" s="1"/>
  <c r="T40" i="18"/>
  <c r="AI40" i="18"/>
  <c r="AC40" i="18"/>
  <c r="G13" i="18"/>
  <c r="H13" i="18" s="1"/>
  <c r="G12" i="18"/>
  <c r="H12" i="18" s="1"/>
  <c r="O95" i="2"/>
  <c r="AA95" i="2"/>
  <c r="AB95" i="2" s="1"/>
  <c r="O86" i="2"/>
  <c r="T86" i="2"/>
  <c r="AA84" i="2"/>
  <c r="AB84" i="2" s="1"/>
  <c r="AA80" i="2"/>
  <c r="AB80" i="2" s="1"/>
  <c r="AL23" i="18"/>
  <c r="AM23" i="18" s="1"/>
  <c r="W106" i="19"/>
  <c r="X106" i="19" s="1"/>
  <c r="W121" i="19"/>
  <c r="X121" i="19" s="1"/>
  <c r="W108" i="19"/>
  <c r="X108" i="19" s="1"/>
  <c r="W132" i="2"/>
  <c r="AL71" i="18"/>
  <c r="AM71" i="18" s="1"/>
  <c r="AL51" i="18"/>
  <c r="AM51" i="18" s="1"/>
  <c r="W89" i="18"/>
  <c r="AL61" i="18"/>
  <c r="AM61" i="18" s="1"/>
  <c r="Q132" i="2"/>
  <c r="AA110" i="2"/>
  <c r="AB110" i="2" s="1"/>
  <c r="AA87" i="2"/>
  <c r="AB87" i="2" s="1"/>
  <c r="W80" i="19"/>
  <c r="X80" i="19" s="1"/>
  <c r="AA117" i="2"/>
  <c r="AB117" i="2" s="1"/>
  <c r="AL56" i="18"/>
  <c r="AM56" i="18" s="1"/>
  <c r="AM32" i="22"/>
  <c r="AN32" i="22" s="1"/>
  <c r="AB18" i="22"/>
  <c r="AB110" i="22" s="1"/>
  <c r="K110" i="22"/>
  <c r="Z110" i="22"/>
  <c r="L13" i="21"/>
  <c r="M13" i="21" s="1"/>
  <c r="AB15" i="21"/>
  <c r="AC15" i="21" s="1"/>
  <c r="O18" i="22"/>
  <c r="AE18" i="22"/>
  <c r="AE110" i="22" s="1"/>
  <c r="I9" i="22"/>
  <c r="Q106" i="22"/>
  <c r="Q103" i="22"/>
  <c r="Q98" i="22"/>
  <c r="Q92" i="22"/>
  <c r="Q81" i="22"/>
  <c r="Q79" i="22"/>
  <c r="O68" i="22"/>
  <c r="R68" i="22" s="1"/>
  <c r="S68" i="22" s="1"/>
  <c r="Q66" i="22"/>
  <c r="O58" i="22"/>
  <c r="O56" i="22"/>
  <c r="R56" i="22" s="1"/>
  <c r="S56" i="22" s="1"/>
  <c r="O53" i="22"/>
  <c r="O48" i="22"/>
  <c r="O46" i="22"/>
  <c r="O42" i="22"/>
  <c r="O40" i="22"/>
  <c r="R40" i="22" s="1"/>
  <c r="S40" i="22" s="1"/>
  <c r="O37" i="22"/>
  <c r="O35" i="22"/>
  <c r="R35" i="22" s="1"/>
  <c r="S35" i="22" s="1"/>
  <c r="O33" i="22"/>
  <c r="O30" i="22"/>
  <c r="O29" i="22"/>
  <c r="O25" i="22"/>
  <c r="O20" i="22"/>
  <c r="Q71" i="22"/>
  <c r="O61" i="22"/>
  <c r="M107" i="22"/>
  <c r="R107" i="22" s="1"/>
  <c r="S107" i="22" s="1"/>
  <c r="M105" i="22"/>
  <c r="R105" i="22" s="1"/>
  <c r="S105" i="22" s="1"/>
  <c r="M95" i="22"/>
  <c r="R95" i="22" s="1"/>
  <c r="S95" i="22" s="1"/>
  <c r="M90" i="22"/>
  <c r="M80" i="22"/>
  <c r="M78" i="22"/>
  <c r="Q67" i="22"/>
  <c r="O65" i="22"/>
  <c r="O63" i="22"/>
  <c r="Q60" i="22"/>
  <c r="Q57" i="22"/>
  <c r="Q52" i="22"/>
  <c r="Q47" i="22"/>
  <c r="Q41" i="22"/>
  <c r="Q24" i="22"/>
  <c r="Q21" i="22"/>
  <c r="AI26" i="18"/>
  <c r="AC26" i="18"/>
  <c r="T26" i="18"/>
  <c r="O113" i="2"/>
  <c r="AA113" i="2" s="1"/>
  <c r="AB113" i="2" s="1"/>
  <c r="O111" i="2"/>
  <c r="AA111" i="2" s="1"/>
  <c r="AB111" i="2" s="1"/>
  <c r="W85" i="19"/>
  <c r="X85" i="19" s="1"/>
  <c r="W82" i="19"/>
  <c r="X82" i="19" s="1"/>
  <c r="W81" i="19"/>
  <c r="X81" i="19" s="1"/>
  <c r="W69" i="19"/>
  <c r="X69" i="19" s="1"/>
  <c r="W53" i="19"/>
  <c r="X53" i="19" s="1"/>
  <c r="AA82" i="2"/>
  <c r="AB82" i="2" s="1"/>
  <c r="AA118" i="2"/>
  <c r="AB118" i="2" s="1"/>
  <c r="AC83" i="18"/>
  <c r="T83" i="18"/>
  <c r="T48" i="18"/>
  <c r="AH48" i="18"/>
  <c r="O114" i="2"/>
  <c r="AA114" i="2" s="1"/>
  <c r="AB114" i="2" s="1"/>
  <c r="O112" i="2"/>
  <c r="AA112" i="2" s="1"/>
  <c r="AB112" i="2" s="1"/>
  <c r="N132" i="2"/>
  <c r="W76" i="19"/>
  <c r="X76" i="19" s="1"/>
  <c r="W73" i="19"/>
  <c r="X73" i="19" s="1"/>
  <c r="W83" i="19"/>
  <c r="X83" i="19" s="1"/>
  <c r="W84" i="19"/>
  <c r="X84" i="19" s="1"/>
  <c r="W52" i="19"/>
  <c r="X52" i="19" s="1"/>
  <c r="W17" i="19"/>
  <c r="X17" i="19" s="1"/>
  <c r="Z132" i="2"/>
  <c r="AC69" i="18"/>
  <c r="AL69" i="18" s="1"/>
  <c r="AM69" i="18" s="1"/>
  <c r="AL58" i="18"/>
  <c r="AM58" i="18" s="1"/>
  <c r="AL81" i="18"/>
  <c r="AM81" i="18" s="1"/>
  <c r="AL72" i="18"/>
  <c r="AM72" i="18" s="1"/>
  <c r="AL79" i="18"/>
  <c r="AM79" i="18" s="1"/>
  <c r="K58" i="21"/>
  <c r="Q85" i="22"/>
  <c r="M85" i="22"/>
  <c r="X13" i="19"/>
  <c r="AC28" i="18"/>
  <c r="T28" i="18"/>
  <c r="T44" i="18"/>
  <c r="AC44" i="18"/>
  <c r="AI44" i="18"/>
  <c r="T60" i="18"/>
  <c r="AC60" i="18"/>
  <c r="AH60" i="18"/>
  <c r="AH76" i="18"/>
  <c r="T76" i="18"/>
  <c r="AC76" i="18"/>
  <c r="T65" i="18"/>
  <c r="AC65" i="18"/>
  <c r="AC30" i="18"/>
  <c r="AI30" i="18"/>
  <c r="T30" i="18"/>
  <c r="AC46" i="18"/>
  <c r="T62" i="18"/>
  <c r="AC62" i="18"/>
  <c r="AG62" i="18"/>
  <c r="AI43" i="18"/>
  <c r="T43" i="18"/>
  <c r="AC43" i="18"/>
  <c r="T85" i="18"/>
  <c r="AC85" i="18"/>
  <c r="AB14" i="2"/>
  <c r="T87" i="18"/>
  <c r="AC87" i="18"/>
  <c r="AL87" i="18" s="1"/>
  <c r="AM87" i="18" s="1"/>
  <c r="AC36" i="18"/>
  <c r="T36" i="18"/>
  <c r="AH36" i="18"/>
  <c r="AC68" i="18"/>
  <c r="AL68" i="18" s="1"/>
  <c r="AM68" i="18" s="1"/>
  <c r="T68" i="18"/>
  <c r="T84" i="18"/>
  <c r="AI84" i="18"/>
  <c r="AC84" i="18"/>
  <c r="T22" i="18"/>
  <c r="AC22" i="18"/>
  <c r="AJ22" i="18"/>
  <c r="T38" i="18"/>
  <c r="AC38" i="18"/>
  <c r="T54" i="18"/>
  <c r="AC54" i="18"/>
  <c r="T88" i="18"/>
  <c r="AC88" i="18"/>
  <c r="T66" i="18"/>
  <c r="AC66" i="18"/>
  <c r="O107" i="2"/>
  <c r="AA107" i="2" s="1"/>
  <c r="AB107" i="2" s="1"/>
  <c r="W67" i="19"/>
  <c r="X67" i="19" s="1"/>
  <c r="R131" i="19"/>
  <c r="X132" i="2"/>
  <c r="O101" i="2"/>
  <c r="AA101" i="2"/>
  <c r="AB101" i="2" s="1"/>
  <c r="O97" i="2"/>
  <c r="AA97" i="2" s="1"/>
  <c r="AB97" i="2" s="1"/>
  <c r="O67" i="2"/>
  <c r="AA67" i="2"/>
  <c r="AB67" i="2" s="1"/>
  <c r="O64" i="2"/>
  <c r="AA64" i="2" s="1"/>
  <c r="AB64" i="2" s="1"/>
  <c r="O44" i="2"/>
  <c r="AA44" i="2"/>
  <c r="AB44" i="2" s="1"/>
  <c r="O22" i="2"/>
  <c r="AA22" i="2" s="1"/>
  <c r="AB22" i="2" s="1"/>
  <c r="AA89" i="2"/>
  <c r="AB89" i="2" s="1"/>
  <c r="S53" i="18"/>
  <c r="S61" i="19"/>
  <c r="S70" i="19"/>
  <c r="W70" i="19" s="1"/>
  <c r="X70" i="19" s="1"/>
  <c r="M108" i="22"/>
  <c r="M89" i="22"/>
  <c r="M87" i="22"/>
  <c r="R87" i="22" s="1"/>
  <c r="S87" i="22" s="1"/>
  <c r="M83" i="22"/>
  <c r="R83" i="22" s="1"/>
  <c r="S83" i="22" s="1"/>
  <c r="M76" i="22"/>
  <c r="M73" i="22"/>
  <c r="R73" i="22" s="1"/>
  <c r="S73" i="22" s="1"/>
  <c r="M69" i="22"/>
  <c r="M59" i="22"/>
  <c r="M45" i="22"/>
  <c r="M43" i="22"/>
  <c r="M26" i="22"/>
  <c r="O102" i="22"/>
  <c r="R102" i="22" s="1"/>
  <c r="S102" i="22" s="1"/>
  <c r="O99" i="22"/>
  <c r="O93" i="22"/>
  <c r="R93" i="22" s="1"/>
  <c r="S93" i="22" s="1"/>
  <c r="O86" i="22"/>
  <c r="O84" i="22"/>
  <c r="O82" i="22"/>
  <c r="O75" i="22"/>
  <c r="R75" i="22" s="1"/>
  <c r="S75" i="22" s="1"/>
  <c r="O74" i="22"/>
  <c r="O67" i="22"/>
  <c r="O66" i="22"/>
  <c r="O64" i="22"/>
  <c r="R64" i="22" s="1"/>
  <c r="S64" i="22" s="1"/>
  <c r="O62" i="22"/>
  <c r="R62" i="22" s="1"/>
  <c r="S62" i="22" s="1"/>
  <c r="O60" i="22"/>
  <c r="O59" i="22"/>
  <c r="O57" i="22"/>
  <c r="O52" i="22"/>
  <c r="R52" i="22" s="1"/>
  <c r="S52" i="22" s="1"/>
  <c r="O47" i="22"/>
  <c r="O41" i="22"/>
  <c r="O38" i="22"/>
  <c r="R38" i="22" s="1"/>
  <c r="S38" i="22" s="1"/>
  <c r="O34" i="22"/>
  <c r="O31" i="22"/>
  <c r="O28" i="22"/>
  <c r="O21" i="22"/>
  <c r="Q99" i="22"/>
  <c r="Q84" i="22"/>
  <c r="Q82" i="22"/>
  <c r="Q78" i="22"/>
  <c r="Q74" i="22"/>
  <c r="Q65" i="22"/>
  <c r="Q58" i="22"/>
  <c r="Q53" i="22"/>
  <c r="Q48" i="22"/>
  <c r="Q46" i="22"/>
  <c r="Q42" i="22"/>
  <c r="Q37" i="22"/>
  <c r="Q33" i="22"/>
  <c r="Q30" i="22"/>
  <c r="Q29" i="22"/>
  <c r="Q25" i="22"/>
  <c r="Q20" i="22"/>
  <c r="M19" i="22"/>
  <c r="R19" i="22" s="1"/>
  <c r="S19" i="22" s="1"/>
  <c r="M63" i="22"/>
  <c r="M44" i="22"/>
  <c r="R44" i="22" s="1"/>
  <c r="S44" i="22" s="1"/>
  <c r="AI44" i="22" s="1"/>
  <c r="M27" i="22"/>
  <c r="R27" i="22" s="1"/>
  <c r="S27" i="22" s="1"/>
  <c r="M23" i="22"/>
  <c r="R23" i="22" s="1"/>
  <c r="S23" i="22" s="1"/>
  <c r="O103" i="22"/>
  <c r="O101" i="22"/>
  <c r="O98" i="22"/>
  <c r="R98" i="22" s="1"/>
  <c r="S98" i="22" s="1"/>
  <c r="O94" i="22"/>
  <c r="O92" i="22"/>
  <c r="O91" i="22"/>
  <c r="R91" i="22" s="1"/>
  <c r="S91" i="22" s="1"/>
  <c r="AI91" i="22" s="1"/>
  <c r="O89" i="22"/>
  <c r="O85" i="22"/>
  <c r="O81" i="22"/>
  <c r="R81" i="22" s="1"/>
  <c r="S81" i="22" s="1"/>
  <c r="O79" i="22"/>
  <c r="R79" i="22" s="1"/>
  <c r="S79" i="22" s="1"/>
  <c r="O71" i="22"/>
  <c r="R71" i="22" s="1"/>
  <c r="S71" i="22" s="1"/>
  <c r="AI49" i="18" l="1"/>
  <c r="AC49" i="18"/>
  <c r="T49" i="18"/>
  <c r="S132" i="2"/>
  <c r="T131" i="19"/>
  <c r="R21" i="22"/>
  <c r="S21" i="22" s="1"/>
  <c r="AL83" i="18"/>
  <c r="AM83" i="18" s="1"/>
  <c r="R66" i="22"/>
  <c r="S66" i="22" s="1"/>
  <c r="T66" i="22" s="1"/>
  <c r="AI46" i="18"/>
  <c r="L58" i="21"/>
  <c r="AL63" i="18"/>
  <c r="AM63" i="18" s="1"/>
  <c r="K15" i="19"/>
  <c r="J131" i="19"/>
  <c r="AL67" i="18"/>
  <c r="AM67" i="18" s="1"/>
  <c r="AI31" i="18"/>
  <c r="AI89" i="18" s="1"/>
  <c r="T132" i="19" s="1"/>
  <c r="T133" i="19" s="1"/>
  <c r="AC31" i="18"/>
  <c r="T31" i="18"/>
  <c r="AL42" i="18"/>
  <c r="AM42" i="18" s="1"/>
  <c r="AL77" i="18"/>
  <c r="AM77" i="18" s="1"/>
  <c r="AL40" i="18"/>
  <c r="AM40" i="18" s="1"/>
  <c r="O13" i="21"/>
  <c r="AA86" i="2"/>
  <c r="AB86" i="2" s="1"/>
  <c r="S52" i="18"/>
  <c r="AA18" i="2"/>
  <c r="AB18" i="2" s="1"/>
  <c r="AB132" i="2" s="1"/>
  <c r="AL59" i="18"/>
  <c r="AM59" i="18" s="1"/>
  <c r="W65" i="19"/>
  <c r="X65" i="19" s="1"/>
  <c r="S21" i="18"/>
  <c r="O89" i="18"/>
  <c r="H132" i="19" s="1"/>
  <c r="AA83" i="2"/>
  <c r="AB83" i="2" s="1"/>
  <c r="R89" i="22"/>
  <c r="S89" i="22" s="1"/>
  <c r="T79" i="22"/>
  <c r="AM79" i="22" s="1"/>
  <c r="AN79" i="22" s="1"/>
  <c r="T91" i="22"/>
  <c r="O110" i="22"/>
  <c r="R94" i="22"/>
  <c r="S94" i="22"/>
  <c r="R101" i="22"/>
  <c r="S101" i="22" s="1"/>
  <c r="T27" i="22"/>
  <c r="R63" i="22"/>
  <c r="S63" i="22" s="1"/>
  <c r="T21" i="22"/>
  <c r="R34" i="22"/>
  <c r="S34" i="22" s="1"/>
  <c r="R41" i="22"/>
  <c r="S41" i="22" s="1"/>
  <c r="T52" i="22"/>
  <c r="AM52" i="22" s="1"/>
  <c r="AN52" i="22" s="1"/>
  <c r="T62" i="22"/>
  <c r="R72" i="22"/>
  <c r="S72" i="22" s="1"/>
  <c r="T75" i="22"/>
  <c r="AM75" i="22" s="1"/>
  <c r="AN75" i="22" s="1"/>
  <c r="R84" i="22"/>
  <c r="S84" i="22" s="1"/>
  <c r="T93" i="22"/>
  <c r="T102" i="22"/>
  <c r="AM102" i="22" s="1"/>
  <c r="AN102" i="22" s="1"/>
  <c r="R43" i="22"/>
  <c r="S43" i="22" s="1"/>
  <c r="AK43" i="22" s="1"/>
  <c r="R59" i="22"/>
  <c r="S59" i="22" s="1"/>
  <c r="T73" i="22"/>
  <c r="T83" i="22"/>
  <c r="T89" i="22"/>
  <c r="AM89" i="22" s="1"/>
  <c r="AN89" i="22" s="1"/>
  <c r="R24" i="22"/>
  <c r="S24" i="22" s="1"/>
  <c r="R65" i="22"/>
  <c r="S65" i="22" s="1"/>
  <c r="R78" i="22"/>
  <c r="S78" i="22" s="1"/>
  <c r="R90" i="22"/>
  <c r="S90" i="22" s="1"/>
  <c r="T105" i="22"/>
  <c r="R61" i="22"/>
  <c r="S61" i="22" s="1"/>
  <c r="R20" i="22"/>
  <c r="S20" i="22" s="1"/>
  <c r="R37" i="22"/>
  <c r="S37" i="22" s="1"/>
  <c r="T56" i="22"/>
  <c r="R106" i="22"/>
  <c r="S106" i="22" s="1"/>
  <c r="T71" i="22"/>
  <c r="AM71" i="22" s="1"/>
  <c r="AN71" i="22" s="1"/>
  <c r="T81" i="22"/>
  <c r="R92" i="22"/>
  <c r="S92" i="22" s="1"/>
  <c r="T98" i="22"/>
  <c r="R103" i="22"/>
  <c r="S103" i="22" s="1"/>
  <c r="T23" i="22"/>
  <c r="T19" i="22"/>
  <c r="R28" i="22"/>
  <c r="S28" i="22" s="1"/>
  <c r="R31" i="22"/>
  <c r="S31" i="22" s="1"/>
  <c r="T38" i="22"/>
  <c r="R47" i="22"/>
  <c r="S47" i="22" s="1"/>
  <c r="R57" i="22"/>
  <c r="S57" i="22" s="1"/>
  <c r="T64" i="22"/>
  <c r="AM64" i="22" s="1"/>
  <c r="AN64" i="22" s="1"/>
  <c r="R67" i="22"/>
  <c r="S67" i="22" s="1"/>
  <c r="R74" i="22"/>
  <c r="S74" i="22" s="1"/>
  <c r="R82" i="22"/>
  <c r="S82" i="22" s="1"/>
  <c r="R86" i="22"/>
  <c r="S86" i="22" s="1"/>
  <c r="R99" i="22"/>
  <c r="S99" i="22" s="1"/>
  <c r="R45" i="22"/>
  <c r="S45" i="22" s="1"/>
  <c r="R69" i="22"/>
  <c r="S69" i="22" s="1"/>
  <c r="R76" i="22"/>
  <c r="S76" i="22" s="1"/>
  <c r="T87" i="22"/>
  <c r="R108" i="22"/>
  <c r="S108" i="22" s="1"/>
  <c r="R80" i="22"/>
  <c r="S80" i="22" s="1"/>
  <c r="T95" i="22"/>
  <c r="T107" i="22"/>
  <c r="T35" i="22"/>
  <c r="T40" i="22"/>
  <c r="AM40" i="22" s="1"/>
  <c r="AN40" i="22" s="1"/>
  <c r="R53" i="22"/>
  <c r="S53" i="22" s="1"/>
  <c r="T68" i="22"/>
  <c r="R29" i="22"/>
  <c r="S29" i="22" s="1"/>
  <c r="R33" i="22"/>
  <c r="S33" i="22" s="1"/>
  <c r="R42" i="22"/>
  <c r="S42" i="22" s="1"/>
  <c r="R48" i="22"/>
  <c r="S48" i="22" s="1"/>
  <c r="R60" i="22"/>
  <c r="S60" i="22" s="1"/>
  <c r="R85" i="22"/>
  <c r="S85" i="22" s="1"/>
  <c r="R25" i="22"/>
  <c r="S25" i="22" s="1"/>
  <c r="R30" i="22"/>
  <c r="S30" i="22" s="1"/>
  <c r="R46" i="22"/>
  <c r="S46" i="22" s="1"/>
  <c r="R58" i="22"/>
  <c r="S58" i="22" s="1"/>
  <c r="R26" i="22"/>
  <c r="S26" i="22" s="1"/>
  <c r="T44" i="22"/>
  <c r="Q110" i="22"/>
  <c r="M110" i="22"/>
  <c r="R18" i="22"/>
  <c r="S18" i="22" s="1"/>
  <c r="T18" i="22" s="1"/>
  <c r="AJ27" i="22"/>
  <c r="AM27" i="22" s="1"/>
  <c r="AN27" i="22" s="1"/>
  <c r="AI35" i="22"/>
  <c r="AJ98" i="22"/>
  <c r="AM98" i="22" s="1"/>
  <c r="AN98" i="22" s="1"/>
  <c r="AI93" i="22"/>
  <c r="AL85" i="18"/>
  <c r="AM85" i="18" s="1"/>
  <c r="AL46" i="18"/>
  <c r="AM46" i="18" s="1"/>
  <c r="AL65" i="18"/>
  <c r="AM65" i="18" s="1"/>
  <c r="AL44" i="18"/>
  <c r="AM44" i="18" s="1"/>
  <c r="AL28" i="18"/>
  <c r="AM28" i="18" s="1"/>
  <c r="O58" i="21"/>
  <c r="AL66" i="18"/>
  <c r="AM66" i="18" s="1"/>
  <c r="AL88" i="18"/>
  <c r="AM88" i="18" s="1"/>
  <c r="AL54" i="18"/>
  <c r="AM54" i="18" s="1"/>
  <c r="AL38" i="18"/>
  <c r="AM38" i="18" s="1"/>
  <c r="AL48" i="18"/>
  <c r="AM48" i="18" s="1"/>
  <c r="AL26" i="18"/>
  <c r="AM26" i="18" s="1"/>
  <c r="AA58" i="21"/>
  <c r="Q58" i="21"/>
  <c r="T53" i="18"/>
  <c r="AC53" i="18"/>
  <c r="AL53" i="18" s="1"/>
  <c r="AM53" i="18" s="1"/>
  <c r="AL30" i="18"/>
  <c r="AM30" i="18" s="1"/>
  <c r="S89" i="18"/>
  <c r="T89" i="18" s="1"/>
  <c r="AL43" i="18"/>
  <c r="AM43" i="18" s="1"/>
  <c r="AL76" i="18"/>
  <c r="AM76" i="18" s="1"/>
  <c r="W61" i="19"/>
  <c r="S131" i="19"/>
  <c r="AL22" i="18"/>
  <c r="AJ89" i="18"/>
  <c r="AL36" i="18"/>
  <c r="AM36" i="18" s="1"/>
  <c r="AH89" i="18"/>
  <c r="S132" i="19" s="1"/>
  <c r="AL62" i="18"/>
  <c r="AM62" i="18" s="1"/>
  <c r="AG89" i="18"/>
  <c r="R132" i="19" s="1"/>
  <c r="R133" i="19" s="1"/>
  <c r="O132" i="2"/>
  <c r="AL84" i="18"/>
  <c r="AM84" i="18" s="1"/>
  <c r="AL60" i="18"/>
  <c r="AM60" i="18" s="1"/>
  <c r="W15" i="19" l="1"/>
  <c r="X15" i="19" s="1"/>
  <c r="K131" i="19"/>
  <c r="AL49" i="18"/>
  <c r="AM49" i="18" s="1"/>
  <c r="J132" i="19"/>
  <c r="K132" i="19" s="1"/>
  <c r="K133" i="19" s="1"/>
  <c r="H133" i="19"/>
  <c r="AC21" i="18"/>
  <c r="T21" i="18"/>
  <c r="AC52" i="18"/>
  <c r="AL52" i="18" s="1"/>
  <c r="AM52" i="18" s="1"/>
  <c r="T52" i="18"/>
  <c r="AL31" i="18"/>
  <c r="AM31" i="18" s="1"/>
  <c r="AA132" i="2"/>
  <c r="P13" i="21"/>
  <c r="P58" i="21" s="1"/>
  <c r="AM35" i="22"/>
  <c r="AN35" i="22" s="1"/>
  <c r="AM93" i="22"/>
  <c r="AN93" i="22" s="1"/>
  <c r="T80" i="22"/>
  <c r="T76" i="22"/>
  <c r="T67" i="22"/>
  <c r="T28" i="22"/>
  <c r="T92" i="22"/>
  <c r="T106" i="22"/>
  <c r="T37" i="22"/>
  <c r="T59" i="22"/>
  <c r="T84" i="22"/>
  <c r="T41" i="22"/>
  <c r="T99" i="22"/>
  <c r="T47" i="22"/>
  <c r="AM47" i="22" s="1"/>
  <c r="AN47" i="22" s="1"/>
  <c r="T31" i="22"/>
  <c r="AM31" i="22" s="1"/>
  <c r="AN31" i="22" s="1"/>
  <c r="T103" i="22"/>
  <c r="T20" i="22"/>
  <c r="T24" i="22"/>
  <c r="T72" i="22"/>
  <c r="T63" i="22"/>
  <c r="AM63" i="22" s="1"/>
  <c r="AN63" i="22" s="1"/>
  <c r="T58" i="22"/>
  <c r="T30" i="22"/>
  <c r="AM30" i="22" s="1"/>
  <c r="AN30" i="22" s="1"/>
  <c r="T85" i="22"/>
  <c r="T48" i="22"/>
  <c r="AM48" i="22" s="1"/>
  <c r="AN48" i="22" s="1"/>
  <c r="T33" i="22"/>
  <c r="T53" i="22"/>
  <c r="T108" i="22"/>
  <c r="T69" i="22"/>
  <c r="AM69" i="22" s="1"/>
  <c r="AN69" i="22" s="1"/>
  <c r="T45" i="22"/>
  <c r="T86" i="22"/>
  <c r="T82" i="22"/>
  <c r="T74" i="22"/>
  <c r="T57" i="22"/>
  <c r="T61" i="22"/>
  <c r="AM61" i="22" s="1"/>
  <c r="AN61" i="22" s="1"/>
  <c r="T90" i="22"/>
  <c r="T78" i="22"/>
  <c r="T65" i="22"/>
  <c r="AM65" i="22" s="1"/>
  <c r="AN65" i="22" s="1"/>
  <c r="T43" i="22"/>
  <c r="AM43" i="22" s="1"/>
  <c r="AN43" i="22" s="1"/>
  <c r="T34" i="22"/>
  <c r="AM34" i="22" s="1"/>
  <c r="AN34" i="22" s="1"/>
  <c r="T101" i="22"/>
  <c r="AM101" i="22" s="1"/>
  <c r="AN101" i="22" s="1"/>
  <c r="T94" i="22"/>
  <c r="T46" i="22"/>
  <c r="AM46" i="22" s="1"/>
  <c r="AN46" i="22" s="1"/>
  <c r="T25" i="22"/>
  <c r="T60" i="22"/>
  <c r="AJ60" i="22"/>
  <c r="T42" i="22"/>
  <c r="T29" i="22"/>
  <c r="T26" i="22"/>
  <c r="AM91" i="22"/>
  <c r="AN91" i="22" s="1"/>
  <c r="AJ42" i="22"/>
  <c r="R110" i="22"/>
  <c r="AI99" i="22"/>
  <c r="AK58" i="22"/>
  <c r="AM58" i="22" s="1"/>
  <c r="AN58" i="22" s="1"/>
  <c r="AK107" i="22"/>
  <c r="AM107" i="22" s="1"/>
  <c r="AN107" i="22" s="1"/>
  <c r="AK95" i="22"/>
  <c r="AM95" i="22" s="1"/>
  <c r="AN95" i="22" s="1"/>
  <c r="AJ84" i="22"/>
  <c r="AK72" i="22"/>
  <c r="AK24" i="22"/>
  <c r="AI20" i="22"/>
  <c r="AJ56" i="22"/>
  <c r="AM56" i="22" s="1"/>
  <c r="AN56" i="22" s="1"/>
  <c r="AK90" i="22"/>
  <c r="AM90" i="22" s="1"/>
  <c r="AN90" i="22" s="1"/>
  <c r="AK74" i="22"/>
  <c r="AM74" i="22" s="1"/>
  <c r="AN74" i="22" s="1"/>
  <c r="AK92" i="22"/>
  <c r="AJ83" i="22"/>
  <c r="AM83" i="22" s="1"/>
  <c r="AN83" i="22" s="1"/>
  <c r="AJ28" i="22"/>
  <c r="AI33" i="22"/>
  <c r="AM33" i="22" s="1"/>
  <c r="AN33" i="22" s="1"/>
  <c r="AI41" i="22"/>
  <c r="AI85" i="22"/>
  <c r="AM85" i="22" s="1"/>
  <c r="AN85" i="22" s="1"/>
  <c r="AK103" i="22"/>
  <c r="AJ81" i="22"/>
  <c r="AM81" i="22" s="1"/>
  <c r="AN81" i="22" s="1"/>
  <c r="AJ73" i="22"/>
  <c r="AM73" i="22" s="1"/>
  <c r="AN73" i="22" s="1"/>
  <c r="AK62" i="22"/>
  <c r="AM62" i="22" s="1"/>
  <c r="AN62" i="22" s="1"/>
  <c r="AI19" i="22"/>
  <c r="AM19" i="22" s="1"/>
  <c r="AN19" i="22" s="1"/>
  <c r="AK67" i="22"/>
  <c r="AJ53" i="22"/>
  <c r="AJ76" i="22"/>
  <c r="AJ66" i="22"/>
  <c r="AM66" i="22" s="1"/>
  <c r="AN66" i="22" s="1"/>
  <c r="AJ26" i="22"/>
  <c r="AM44" i="22"/>
  <c r="AN44" i="22" s="1"/>
  <c r="AK18" i="22"/>
  <c r="AM18" i="22" s="1"/>
  <c r="AI68" i="22"/>
  <c r="AM68" i="22" s="1"/>
  <c r="AN68" i="22" s="1"/>
  <c r="AK37" i="22"/>
  <c r="AJ29" i="22"/>
  <c r="AK23" i="22"/>
  <c r="AM23" i="22" s="1"/>
  <c r="AN23" i="22" s="1"/>
  <c r="AI57" i="22"/>
  <c r="AM57" i="22" s="1"/>
  <c r="AN57" i="22" s="1"/>
  <c r="AK45" i="22"/>
  <c r="AM45" i="22" s="1"/>
  <c r="AN45" i="22" s="1"/>
  <c r="AK25" i="22"/>
  <c r="AM25" i="22" s="1"/>
  <c r="AN25" i="22" s="1"/>
  <c r="AI59" i="22"/>
  <c r="AK38" i="22"/>
  <c r="AM38" i="22" s="1"/>
  <c r="AN38" i="22" s="1"/>
  <c r="AI21" i="22"/>
  <c r="AM21" i="22" s="1"/>
  <c r="AN21" i="22" s="1"/>
  <c r="AK80" i="22"/>
  <c r="AJ78" i="22"/>
  <c r="AM78" i="22" s="1"/>
  <c r="AN78" i="22" s="1"/>
  <c r="AJ82" i="22"/>
  <c r="AM82" i="22" s="1"/>
  <c r="AN82" i="22" s="1"/>
  <c r="AM22" i="18"/>
  <c r="X61" i="19"/>
  <c r="X131" i="19" s="1"/>
  <c r="W131" i="19"/>
  <c r="S133" i="19"/>
  <c r="AJ105" i="22"/>
  <c r="AM105" i="22" s="1"/>
  <c r="AN105" i="22" s="1"/>
  <c r="AJ86" i="22"/>
  <c r="AM86" i="22" s="1"/>
  <c r="AN86" i="22" s="1"/>
  <c r="AJ94" i="22"/>
  <c r="AJ87" i="22"/>
  <c r="AM87" i="22" s="1"/>
  <c r="AN87" i="22" s="1"/>
  <c r="AJ108" i="22"/>
  <c r="AM108" i="22" s="1"/>
  <c r="AN108" i="22" s="1"/>
  <c r="AJ106" i="22"/>
  <c r="AM60" i="22" l="1"/>
  <c r="AN60" i="22" s="1"/>
  <c r="J133" i="19"/>
  <c r="AL21" i="18"/>
  <c r="AC89" i="18"/>
  <c r="Q132" i="19" s="1"/>
  <c r="Q133" i="19" s="1"/>
  <c r="AM94" i="22"/>
  <c r="AN94" i="22" s="1"/>
  <c r="AM53" i="22"/>
  <c r="AN53" i="22" s="1"/>
  <c r="AB13" i="21"/>
  <c r="AC13" i="21" s="1"/>
  <c r="AM99" i="22"/>
  <c r="AN99" i="22" s="1"/>
  <c r="AM92" i="22"/>
  <c r="AN92" i="22" s="1"/>
  <c r="AM103" i="22"/>
  <c r="AN103" i="22" s="1"/>
  <c r="AM106" i="22"/>
  <c r="AN106" i="22" s="1"/>
  <c r="AM26" i="22"/>
  <c r="AN26" i="22" s="1"/>
  <c r="AM42" i="22"/>
  <c r="AN42" i="22" s="1"/>
  <c r="AM24" i="22"/>
  <c r="AN24" i="22" s="1"/>
  <c r="AM84" i="22"/>
  <c r="AN84" i="22" s="1"/>
  <c r="AM37" i="22"/>
  <c r="AN37" i="22" s="1"/>
  <c r="AM67" i="22"/>
  <c r="AN67" i="22" s="1"/>
  <c r="AM80" i="22"/>
  <c r="AN80" i="22" s="1"/>
  <c r="AM29" i="22"/>
  <c r="AN29" i="22" s="1"/>
  <c r="AM72" i="22"/>
  <c r="AN72" i="22" s="1"/>
  <c r="AM20" i="22"/>
  <c r="AN20" i="22" s="1"/>
  <c r="AM41" i="22"/>
  <c r="AN41" i="22" s="1"/>
  <c r="AM59" i="22"/>
  <c r="AN59" i="22" s="1"/>
  <c r="AM28" i="22"/>
  <c r="AN28" i="22" s="1"/>
  <c r="AM76" i="22"/>
  <c r="AN76" i="22" s="1"/>
  <c r="AI110" i="22"/>
  <c r="AK110" i="22"/>
  <c r="AJ110" i="22"/>
  <c r="S110" i="22"/>
  <c r="AC58" i="21"/>
  <c r="AB58" i="21"/>
  <c r="AN18" i="22"/>
  <c r="AM21" i="18" l="1"/>
  <c r="AM89" i="18" s="1"/>
  <c r="X134" i="19" s="1"/>
  <c r="AL89" i="18"/>
  <c r="W132" i="19"/>
  <c r="T110" i="22"/>
  <c r="AN110" i="22"/>
  <c r="AM110" i="22"/>
  <c r="X132" i="19" l="1"/>
  <c r="X133" i="19" s="1"/>
  <c r="W133" i="19"/>
</calcChain>
</file>

<file path=xl/sharedStrings.xml><?xml version="1.0" encoding="utf-8"?>
<sst xmlns="http://schemas.openxmlformats.org/spreadsheetml/2006/main" count="2073" uniqueCount="768">
  <si>
    <t>Лауазымдардың атауы</t>
  </si>
  <si>
    <t>аты-жөні</t>
  </si>
  <si>
    <t>шт.бір-лік</t>
  </si>
  <si>
    <t>коэф.</t>
  </si>
  <si>
    <t>лауазымды жалақы</t>
  </si>
  <si>
    <t>Директор</t>
  </si>
  <si>
    <t>Бас есепші</t>
  </si>
  <si>
    <t>Комендант</t>
  </si>
  <si>
    <t>Тігінші</t>
  </si>
  <si>
    <t>"Бекітемін"</t>
  </si>
  <si>
    <t>Тарификациялық комиссия мүшелері  :</t>
  </si>
  <si>
    <t>С-2</t>
  </si>
  <si>
    <t>С-1</t>
  </si>
  <si>
    <t>В3-4</t>
  </si>
  <si>
    <t>D-1</t>
  </si>
  <si>
    <t>V-IX</t>
  </si>
  <si>
    <t>X-XI</t>
  </si>
  <si>
    <t>барлығы</t>
  </si>
  <si>
    <t>Жаңа оқу жылына көрсеткіш</t>
  </si>
  <si>
    <t>барлық сағат саны апталық</t>
  </si>
  <si>
    <t xml:space="preserve">тарификация бойынша </t>
  </si>
  <si>
    <t>Оқу жоспары бойынша сағат саны</t>
  </si>
  <si>
    <t>№</t>
  </si>
  <si>
    <t>Аты-жөні</t>
  </si>
  <si>
    <t>пәні</t>
  </si>
  <si>
    <t>білімі</t>
  </si>
  <si>
    <t>өтілі</t>
  </si>
  <si>
    <t>коэф</t>
  </si>
  <si>
    <t>барлық жүкте-ме</t>
  </si>
  <si>
    <t xml:space="preserve">Апталық жуктеме сағаты </t>
  </si>
  <si>
    <t>Дәптер тексергені үшін</t>
  </si>
  <si>
    <t>часы 40%</t>
  </si>
  <si>
    <t>сағ</t>
  </si>
  <si>
    <t>соммасы</t>
  </si>
  <si>
    <t>сағ.</t>
  </si>
  <si>
    <t>категория</t>
  </si>
  <si>
    <t>еңбек өтілі</t>
  </si>
  <si>
    <t>жоғары</t>
  </si>
  <si>
    <t>Түркістан облысының  адами әлеуетті дамыту</t>
  </si>
  <si>
    <t>ағылшын</t>
  </si>
  <si>
    <t xml:space="preserve"> кабин</t>
  </si>
  <si>
    <t>магистр, доктор, наставник</t>
  </si>
  <si>
    <t>1 айдағы лауазымдық жалақы 25% бен қосқанда</t>
  </si>
  <si>
    <t>санаты
(жоғары, орта, 1,2)</t>
  </si>
  <si>
    <t>Қосымша төлемақылар</t>
  </si>
  <si>
    <t>модератор 30%</t>
  </si>
  <si>
    <t>сарапшы 
35%</t>
  </si>
  <si>
    <t>шебер
50%</t>
  </si>
  <si>
    <t xml:space="preserve">Зиянды және қауіпті еңбек жағдайлары 20%- 30% </t>
  </si>
  <si>
    <t>зерттеуші
40%</t>
  </si>
  <si>
    <t>кабинетке ақы төлеу</t>
  </si>
  <si>
    <t>доп кф</t>
  </si>
  <si>
    <t>ауылдық жердегі жұмысы үшін 25%</t>
  </si>
  <si>
    <t>БЛА</t>
  </si>
  <si>
    <t xml:space="preserve">түнгі уақытта жұмыс істегені үшін 50% </t>
  </si>
  <si>
    <t>мереке күндері жұмыс істегені үшін</t>
  </si>
  <si>
    <t>штаттық бірлік</t>
  </si>
  <si>
    <t>Косымша коэф</t>
  </si>
  <si>
    <t xml:space="preserve">Базалық ставка </t>
  </si>
  <si>
    <t>Білімі
жоғары, орта арнаулы</t>
  </si>
  <si>
    <t>Ауылдық жердегі жұмысы үшін 25%</t>
  </si>
  <si>
    <t>%</t>
  </si>
  <si>
    <t>Зияндық үшін 40%</t>
  </si>
  <si>
    <t>Қосымша төлемақылар шеберлік және сарапшы үшін РБ</t>
  </si>
  <si>
    <t>зерттеші
40%</t>
  </si>
  <si>
    <t>жаңартылған бағдарлама 
30%</t>
  </si>
  <si>
    <t>Айлық жалақы, теңге</t>
  </si>
  <si>
    <t xml:space="preserve">Жылдық жалақы, мың теңге  </t>
  </si>
  <si>
    <t>басшы лауазымы 30%, 50%, 100%</t>
  </si>
  <si>
    <t>бірінші</t>
  </si>
  <si>
    <t>екінші</t>
  </si>
  <si>
    <t>Барлығы</t>
  </si>
  <si>
    <t>Санаты
жоғары, 1, 2</t>
  </si>
  <si>
    <t>экология 20 %</t>
  </si>
  <si>
    <t>Өскенбай Ғалымжан Зұлпыхарұлы</t>
  </si>
  <si>
    <t>Оспанов Сейтжан</t>
  </si>
  <si>
    <t>Балабаев Болисбек Жапбарович</t>
  </si>
  <si>
    <t>Қайқыбаева Айман Бердіқұлқызы</t>
  </si>
  <si>
    <t>Арапбекова Зулфия Айтжановна</t>
  </si>
  <si>
    <t>Ошанова Зауре Бейсенбековна</t>
  </si>
  <si>
    <t>Джанкараева Ғазиза</t>
  </si>
  <si>
    <t>Есбола Жақсыгүл Мұхтарқызы</t>
  </si>
  <si>
    <t>Тастанбекова Куттыкыз Шадибековна</t>
  </si>
  <si>
    <t>Альтекова Гаухар Калихановна</t>
  </si>
  <si>
    <t>АРЫСТАНОВА ЖАНСЛУ САЙЛАУОВНА</t>
  </si>
  <si>
    <t>Жумагул Жаслан Баксиикулы</t>
  </si>
  <si>
    <t>Бектурова Гулшарат Нурмахановна</t>
  </si>
  <si>
    <t>Колчабекова Алия Амирбековна</t>
  </si>
  <si>
    <t>Турсынбаева Перуза Бертаевна</t>
  </si>
  <si>
    <t>Мнуар Ернат Рамазанұлы</t>
  </si>
  <si>
    <t>Алсейтова Айгуль Набиевна</t>
  </si>
  <si>
    <t>Таджимухаммад Нурсултан Ахрарулы</t>
  </si>
  <si>
    <t>КЕНЖИЕВА АЙГУЛЬ КИЗАТОВНА</t>
  </si>
  <si>
    <t xml:space="preserve">Мырзабаева Раушан Уразгалиевна </t>
  </si>
  <si>
    <t>Темирова Нуржамал Уаисовна</t>
  </si>
  <si>
    <t>Назиров Е</t>
  </si>
  <si>
    <t>Аманкулова Шолпан Ханалиевна</t>
  </si>
  <si>
    <t>Жолтаева Ақнұр Исаханқызы</t>
  </si>
  <si>
    <t>Омаров Ашимхан Карибаевич</t>
  </si>
  <si>
    <t>Омар Салима Амірханқызы</t>
  </si>
  <si>
    <t>Борибекова Жазира Пазиловна</t>
  </si>
  <si>
    <t>Айтмаханбетова Гульжазира Абеновна</t>
  </si>
  <si>
    <t>Беристемова Фариза Турсункуловна</t>
  </si>
  <si>
    <t>Байтөлеу Нұржан Қабденұлы</t>
  </si>
  <si>
    <t>Насирова Фатима Шамситдиновна</t>
  </si>
  <si>
    <t>Байсейтова Улбала Сейтбеккызы</t>
  </si>
  <si>
    <t>Суйіндік Назерке</t>
  </si>
  <si>
    <t>Құдайберген Нұрболат Маратұлы</t>
  </si>
  <si>
    <t>Ахметова Гулжан Сапаровна</t>
  </si>
  <si>
    <t>Дулатов Самат Рахымбаевич</t>
  </si>
  <si>
    <t>Бердыбаев Бейбит Асанович</t>
  </si>
  <si>
    <t>Бостанов Дастан Шырынханұлы</t>
  </si>
  <si>
    <t>Телемисов Женис</t>
  </si>
  <si>
    <t>Тогуспаева Пернекул Наурызбайқызы</t>
  </si>
  <si>
    <t>Кыдырбекова Жулдызай Балтабаевна</t>
  </si>
  <si>
    <t>Джумадуллаева Майра</t>
  </si>
  <si>
    <t>Усипбеков Аскаржан Суттибекович</t>
  </si>
  <si>
    <t>Камалова Әсем Тоғызбайқызы</t>
  </si>
  <si>
    <t>Арынов Асқар Кудасович</t>
  </si>
  <si>
    <t>Қалдыбай Самат Оразғалиұлы</t>
  </si>
  <si>
    <t>Серикова Майра Ергешовна</t>
  </si>
  <si>
    <t>Төлеш Ұлжарқын Арапбайқызы</t>
  </si>
  <si>
    <t>Макешова Гулжан Адаевна</t>
  </si>
  <si>
    <t>Нуржанбаева Айгерим</t>
  </si>
  <si>
    <t>Парпиев Иззатилла Уткирович</t>
  </si>
  <si>
    <t>Шегенова Айгерим Куанышовна</t>
  </si>
  <si>
    <t>Калдыбекова Меруерт Сабитовна</t>
  </si>
  <si>
    <t>Мәлкайдар Шоқан Мұратұлы</t>
  </si>
  <si>
    <t>Муратаев Адилбек Халиллулаевич</t>
  </si>
  <si>
    <t>Шагирова Мейрамкүл Кожабековна</t>
  </si>
  <si>
    <t>Есимбеков Канат Дилдабекович</t>
  </si>
  <si>
    <t>Керимбеков Олжас Мусабекович,</t>
  </si>
  <si>
    <t>Умбетов Руслан Балтабекович</t>
  </si>
  <si>
    <t>Мамешова Ұлжалғас</t>
  </si>
  <si>
    <t>Утенова Диана Қалмұратқызы</t>
  </si>
  <si>
    <t>Ақынова Мәншүк Берікқызы</t>
  </si>
  <si>
    <t>Утебаева Азиза Абдишукировна</t>
  </si>
  <si>
    <t>Жумадиллаев Элдар Паччаханович</t>
  </si>
  <si>
    <t>Нұржігіт Сабира Ерболқызы</t>
  </si>
  <si>
    <t>Құлбатыр  Рахман</t>
  </si>
  <si>
    <t>Бухарбаев Дамир Нурмаханович</t>
  </si>
  <si>
    <t>Бос орын</t>
  </si>
  <si>
    <t>Тарих пәні мұғалімі</t>
  </si>
  <si>
    <t>Физика пәнінің мұғалімі</t>
  </si>
  <si>
    <t>Биология пәнінің мұғалімі</t>
  </si>
  <si>
    <t>Қазақ тілі пәнінің мұғалімі</t>
  </si>
  <si>
    <t>орыс тілі  пәнінің мұғалімі</t>
  </si>
  <si>
    <t>Ағылшын  тілі пәнінің мұғалімі</t>
  </si>
  <si>
    <t xml:space="preserve">биология пәнінің мұғалімі </t>
  </si>
  <si>
    <t>Өзін өзі пәнінің мұғалімі</t>
  </si>
  <si>
    <t>Ән-кyй пәнінің мұғалім</t>
  </si>
  <si>
    <t>Физика пәнінің ағылшын тілінде беретін мұалімі</t>
  </si>
  <si>
    <t>өзін өзі тану пәнінің мұғалімі</t>
  </si>
  <si>
    <t>Тарих пәнінің мұғалім</t>
  </si>
  <si>
    <t>Бастапқы  әскери дайындық пәнінің  мұғалімі</t>
  </si>
  <si>
    <t>География пәнінің мұғалімі</t>
  </si>
  <si>
    <t>Физика пәнінінің мұғалімі</t>
  </si>
  <si>
    <t>Математика пәнінің мұғалімі</t>
  </si>
  <si>
    <t>Информатика пәнінің мұғалім</t>
  </si>
  <si>
    <t>Ағылшын тілі пәнінің мұғалімі</t>
  </si>
  <si>
    <t>Химия пәнінің мұғалімі</t>
  </si>
  <si>
    <t>химия  пәнінің мұғалімі</t>
  </si>
  <si>
    <t>"Шабыт" драма үйірмесі</t>
  </si>
  <si>
    <t>Тарих пәнінің мұғалімі</t>
  </si>
  <si>
    <t>Еңбек пәнінің мұғалім</t>
  </si>
  <si>
    <t>Дене шынықтыру мұғалім</t>
  </si>
  <si>
    <t>тарих пәнінің мұғалімі</t>
  </si>
  <si>
    <t xml:space="preserve">математика  пәнінің мұғалімі </t>
  </si>
  <si>
    <t>Қазақ тілі мен әдебиеті пәнінің мұғалімі</t>
  </si>
  <si>
    <t xml:space="preserve">ағылшын тілі пәнінің мұғалімі </t>
  </si>
  <si>
    <t>ағылшын тілі пәнінің мұғалімі</t>
  </si>
  <si>
    <t>химия пәнінің мұғалімі</t>
  </si>
  <si>
    <t>Информатика пәнінін агылшын тілі мұғалімі</t>
  </si>
  <si>
    <t>математика пәнінің мұғалім</t>
  </si>
  <si>
    <t>B-2-1</t>
  </si>
  <si>
    <t>B-2-4</t>
  </si>
  <si>
    <t>В-2-1</t>
  </si>
  <si>
    <t>B-2-3</t>
  </si>
  <si>
    <t>B-2-2</t>
  </si>
  <si>
    <t>В-2-2</t>
  </si>
  <si>
    <t>В-2-4</t>
  </si>
  <si>
    <t>В-2-3</t>
  </si>
  <si>
    <t>Ғылыми инновациялық  ісі жөніндегі орынбасары</t>
  </si>
  <si>
    <t xml:space="preserve">Оқу ісі жөніндегі орынбасары </t>
  </si>
  <si>
    <t xml:space="preserve"> Директордың шет тілі жөніндегі орынбасары</t>
  </si>
  <si>
    <t>Мәлікайдар Шоқан</t>
  </si>
  <si>
    <t>Тәрбие ісі жөніндегі орынбасары</t>
  </si>
  <si>
    <t>Балабаев Болысбек Жапбарович</t>
  </si>
  <si>
    <t xml:space="preserve">Мирзабаева Раушан Уразгалиевна </t>
  </si>
  <si>
    <t xml:space="preserve">Шаруашылық ісі жөніндегі орынбасары                                   </t>
  </si>
  <si>
    <t>Мамраимов Мурат Абдуахитулы</t>
  </si>
  <si>
    <t>Ермаханова Алия Жолдасбаевна</t>
  </si>
  <si>
    <t>Есепші</t>
  </si>
  <si>
    <t>Байгабулова Мадина Серікқызы</t>
  </si>
  <si>
    <t>Шаруашылық меңгерушісі</t>
  </si>
  <si>
    <t>АӘД ұйымдастырушы ұстазы</t>
  </si>
  <si>
    <t>Назиров Ерлан Патшаханович</t>
  </si>
  <si>
    <t>Педагог психолог</t>
  </si>
  <si>
    <t>Жұмаділова  Балнур</t>
  </si>
  <si>
    <t>Әлеуметтік педагог</t>
  </si>
  <si>
    <t>Кенжиева Айгуль Кизатовна</t>
  </si>
  <si>
    <t>Музыкалық жетекшісі</t>
  </si>
  <si>
    <t>Алтеков Галымжан Абилханович</t>
  </si>
  <si>
    <t>Үйірме жетекшісі</t>
  </si>
  <si>
    <t>Дәрігер</t>
  </si>
  <si>
    <t>Ерғалиева Жанат Сәрсенбайқызы</t>
  </si>
  <si>
    <t xml:space="preserve">Мейірбике </t>
  </si>
  <si>
    <t>Дадабаева Айнур Темирхановна</t>
  </si>
  <si>
    <t>Куздеубаева Ажар Ерболқызы</t>
  </si>
  <si>
    <t>Зертханашы</t>
  </si>
  <si>
    <t>Умирзакова Жазира Умирбаевна</t>
  </si>
  <si>
    <t>Умбетов Руслан</t>
  </si>
  <si>
    <t>Жумагул Жасулан</t>
  </si>
  <si>
    <t>Бухарбаев Дамир</t>
  </si>
  <si>
    <t>Усипбеков Асқаржан Суттибекович</t>
  </si>
  <si>
    <t>Мамешова Улжалғас Абамуслимовна</t>
  </si>
  <si>
    <t xml:space="preserve">Интернат меңгерушісі                                </t>
  </si>
  <si>
    <t>Есбола Жақсыгул</t>
  </si>
  <si>
    <t>Кітапхана меңгерушісі</t>
  </si>
  <si>
    <t>Мырзалиева Динара Рсмбетовна</t>
  </si>
  <si>
    <t>Кітапханашы</t>
  </si>
  <si>
    <t>Мырзалиева Динара Рсметовна</t>
  </si>
  <si>
    <t>Техника жөніндегі инженер</t>
  </si>
  <si>
    <t>Парпиев Иззатилла</t>
  </si>
  <si>
    <t>Менеджер</t>
  </si>
  <si>
    <t>Урумбаев Кайрат Есенгельдиевич</t>
  </si>
  <si>
    <t>Кадр мәселе. жөн. инспектор</t>
  </si>
  <si>
    <t>Жаримбетова Айнаш Халмаханбетовна</t>
  </si>
  <si>
    <t>Оқу бөлім хатшысы</t>
  </si>
  <si>
    <t>Нұржанбаева  Айгерім</t>
  </si>
  <si>
    <t>Іс қағаздарын жүргізуші</t>
  </si>
  <si>
    <t>Жумадилаев Эльдар</t>
  </si>
  <si>
    <t>тәрбиеші</t>
  </si>
  <si>
    <t>Естаева Нуржамал Баилбековна</t>
  </si>
  <si>
    <t>Дуйсенова Кулзада Казыкызы</t>
  </si>
  <si>
    <t>Елібай Айнұр Қалиқызы</t>
  </si>
  <si>
    <t>Тулемисова Кенжегуль Жанабергеновна</t>
  </si>
  <si>
    <t>Орхашова Гульнур Онласбековна</t>
  </si>
  <si>
    <t>Акпанова Сарсенкул Бердимуратовна</t>
  </si>
  <si>
    <t>Алтаева Гулжаудыр Бейсенбаевна</t>
  </si>
  <si>
    <t>Исаханова Дидар Абдрахмановна</t>
  </si>
  <si>
    <t>Бердалиева Аймкул Абдрахмановна</t>
  </si>
  <si>
    <t>Макулбекова Салтанат Берстемовна</t>
  </si>
  <si>
    <t>Сарыпбек Жәмила Мырзағалиқызы</t>
  </si>
  <si>
    <t>Боранбаева Гулнара Аскарбековна</t>
  </si>
  <si>
    <t>Сапарбаева Айгуль Тилеулескызы</t>
  </si>
  <si>
    <t>Турдиева Орынкул Акжоловна</t>
  </si>
  <si>
    <t>Ахметова Мадина Абайовна</t>
  </si>
  <si>
    <t>Токтарова Ляззат Турегельдиевна</t>
  </si>
  <si>
    <t>Садибекова Фатима Ергенбаевна</t>
  </si>
  <si>
    <t>Исмадиярова Раушан Шарифжановна</t>
  </si>
  <si>
    <t>Баймуратова Акжанат Амангелдиевна</t>
  </si>
  <si>
    <t>Данеева Молдир Махамбетовна</t>
  </si>
  <si>
    <t>Тотыбекова Нургул Тойлыбековна</t>
  </si>
  <si>
    <t>ДАРМЕНОВА АКБОТА ИСАБЕКОВНА</t>
  </si>
  <si>
    <t>Насиридинова Куланда Ибрахымовна</t>
  </si>
  <si>
    <t xml:space="preserve">Жаманкулова Гулжан Балкыбеккызы </t>
  </si>
  <si>
    <t>Тастанова Райхан</t>
  </si>
  <si>
    <t>Спатаева Баян</t>
  </si>
  <si>
    <t>Алдиева А</t>
  </si>
  <si>
    <t>тәрбиеші көмекшісі</t>
  </si>
  <si>
    <t>Исаева Багила Мусаевна</t>
  </si>
  <si>
    <t>Ильясова Эльмира Насырхановна</t>
  </si>
  <si>
    <t>Байганаева Насиба Сайрамбаевна</t>
  </si>
  <si>
    <t>Маханова Орал Балтабаевна</t>
  </si>
  <si>
    <t>Бейсебаева Дамира Камбарбековна</t>
  </si>
  <si>
    <t>Сатиева Салима</t>
  </si>
  <si>
    <t>Битұрсын Айымкүл Сбанбекқызы</t>
  </si>
  <si>
    <t>Бейсебаева Джамила</t>
  </si>
  <si>
    <t>Аббасова Гулнар</t>
  </si>
  <si>
    <t>Ақмурзина Набат</t>
  </si>
  <si>
    <t>Утельбаева Гульмира Сырлыбековна</t>
  </si>
  <si>
    <t>Керимбекова Гулнар Тастыбаевна</t>
  </si>
  <si>
    <t>Кіші мед. персонал</t>
  </si>
  <si>
    <t>Естебек Гулсім Тұрғанбекқызы</t>
  </si>
  <si>
    <t>Айдар Қаламқас</t>
  </si>
  <si>
    <t>Хатшы</t>
  </si>
  <si>
    <t>Утенова Диана</t>
  </si>
  <si>
    <t>Сантехник</t>
  </si>
  <si>
    <t>Самбаев Рустем Пердеханұлы</t>
  </si>
  <si>
    <t>Ағаш ұстасы</t>
  </si>
  <si>
    <t>Егизбеков Алпысбай Ташкенбаевич</t>
  </si>
  <si>
    <t>Кастелянша</t>
  </si>
  <si>
    <t>үй-жайларын тазалаушы</t>
  </si>
  <si>
    <t>Алекеева Данекуль Акжигитовна</t>
  </si>
  <si>
    <t>Бохаева Жансулу Жуматаевна.</t>
  </si>
  <si>
    <t>Тазабекова Айжан</t>
  </si>
  <si>
    <t>Сәрсенбаева Акжаркин Тогайбаевна</t>
  </si>
  <si>
    <t>Омарова Сандуғаш Ізетуллақызы</t>
  </si>
  <si>
    <t>Раева Раушан  Алихановна</t>
  </si>
  <si>
    <t>Шекербекова Лаззат Аблашовна</t>
  </si>
  <si>
    <t>Момекова Урлаим Тогайбаевна</t>
  </si>
  <si>
    <t>Асабаева Назира</t>
  </si>
  <si>
    <t>Ратанова Бибішай</t>
  </si>
  <si>
    <t>Буктербаева Еңілік</t>
  </si>
  <si>
    <t>Кір жуатын жұмысшы</t>
  </si>
  <si>
    <t>Халшураева Айжамал Жанбаровна</t>
  </si>
  <si>
    <t>Ғимаратты кешенді қызмет көрсететін жұмысшы</t>
  </si>
  <si>
    <t>Оразбаев Асилбек Баймурзаулы</t>
  </si>
  <si>
    <t>Көкенов Нияз</t>
  </si>
  <si>
    <t>Шинаров Бекжан</t>
  </si>
  <si>
    <t>Аула сыпырушы</t>
  </si>
  <si>
    <t>Рахманов Кенжебек</t>
  </si>
  <si>
    <t>Кіші қазандық операторы</t>
  </si>
  <si>
    <t>Кузетші</t>
  </si>
  <si>
    <t>Жаркинбеков Турганали</t>
  </si>
  <si>
    <t>Асанов Абдуаль Досанович.</t>
  </si>
  <si>
    <t>Егизбеков Багдат Ташкенбаевич</t>
  </si>
  <si>
    <t>Қилыбаев Марат</t>
  </si>
  <si>
    <t>Назар Нұрым</t>
  </si>
  <si>
    <t>Таджиков Нақыпбек</t>
  </si>
  <si>
    <t>Вахтер</t>
  </si>
  <si>
    <t>Сеитсултанова Жанар Тогайбаевна</t>
  </si>
  <si>
    <t>Бектаев Әлібек</t>
  </si>
  <si>
    <t>Электрик</t>
  </si>
  <si>
    <t>Жақсыбаев Нұржан</t>
  </si>
  <si>
    <t>Көлік жүргізуші</t>
  </si>
  <si>
    <t>Аривист</t>
  </si>
  <si>
    <t>А-1-2</t>
  </si>
  <si>
    <t>А-1-2-1</t>
  </si>
  <si>
    <t>А-2-2</t>
  </si>
  <si>
    <t>C-2</t>
  </si>
  <si>
    <t>С-3</t>
  </si>
  <si>
    <t>В-3-1</t>
  </si>
  <si>
    <t>В-4-1</t>
  </si>
  <si>
    <t>В-4-4</t>
  </si>
  <si>
    <t>B-3-1</t>
  </si>
  <si>
    <t>B-3-2</t>
  </si>
  <si>
    <t>B-3-3</t>
  </si>
  <si>
    <t>B-3-4</t>
  </si>
  <si>
    <t>В-3-3</t>
  </si>
  <si>
    <t>басқармасының "М.Тасова атындағы</t>
  </si>
  <si>
    <t xml:space="preserve">үш тілде оқытатын мамандандырылған </t>
  </si>
  <si>
    <t>№12 мектеп-интернат КММ-нің директоры</t>
  </si>
  <si>
    <t>________________  Ғ.З. Өскенбай</t>
  </si>
  <si>
    <t xml:space="preserve">"___"_____________ 2022ж. </t>
  </si>
  <si>
    <t>Өскенбай   Ғ</t>
  </si>
  <si>
    <t>Оспанов С</t>
  </si>
  <si>
    <t>Тогуспаева П</t>
  </si>
  <si>
    <t>Жаримбетова А</t>
  </si>
  <si>
    <t>Ермаханова А</t>
  </si>
  <si>
    <t>басқармасының  "М.Тасова атындағы</t>
  </si>
  <si>
    <t>№12 мектеп-интернат КММ-нің  директоры</t>
  </si>
  <si>
    <t>_____________ Ғ.З.Өскенбай</t>
  </si>
  <si>
    <t>оқушылар саны 01.01.2022ж.</t>
  </si>
  <si>
    <t>кл. Компл. Саны 01.01.2022ж.</t>
  </si>
  <si>
    <t>сынып саны 01.01.2022ж.</t>
  </si>
  <si>
    <t xml:space="preserve">
жоғары</t>
  </si>
  <si>
    <t xml:space="preserve"> орта арнаулы</t>
  </si>
  <si>
    <t>орта</t>
  </si>
  <si>
    <t>арнаулы орта</t>
  </si>
  <si>
    <t>ғимарат саны</t>
  </si>
  <si>
    <t>ғимараттың тазаланатың алаңы</t>
  </si>
  <si>
    <t>шаршы метр</t>
  </si>
  <si>
    <t>8500 м2</t>
  </si>
  <si>
    <t>Түркістан облысының  адами әлеуетті дамыту  басқармасыныңң "М.Тасова атындағы үш тілде оқытатын мамандандырылған №12 мектеп-интернат КММ-нің 
әкімшілік және азаматтық қызметкерлерінің   01 қаңтар 2022 жылдын  тарификациялау тізімі</t>
  </si>
  <si>
    <r>
      <t xml:space="preserve">Сыныптық біліктілігі үшін 
</t>
    </r>
    <r>
      <rPr>
        <b/>
        <i/>
        <sz val="10"/>
        <rFont val="Times New Roman"/>
        <family val="1"/>
        <charset val="204"/>
      </rPr>
      <t>(жүргізушілер)</t>
    </r>
  </si>
  <si>
    <t>1 ж дейн</t>
  </si>
  <si>
    <t>1 ж дейін</t>
  </si>
  <si>
    <t>18 жыл</t>
  </si>
  <si>
    <t>26 жыл 4 ай</t>
  </si>
  <si>
    <t>19 жыл 5 ай</t>
  </si>
  <si>
    <t>12 жыл 3 ай</t>
  </si>
  <si>
    <t>28 жыл 2 ай</t>
  </si>
  <si>
    <t>16 жыл 2 ай</t>
  </si>
  <si>
    <t>7 жыл 1 ай</t>
  </si>
  <si>
    <t>18 жыл 8 ай</t>
  </si>
  <si>
    <t>6 жыл</t>
  </si>
  <si>
    <t>25 жыл</t>
  </si>
  <si>
    <t>2 жыл 4 ай</t>
  </si>
  <si>
    <t>4 ай</t>
  </si>
  <si>
    <t>13 жыл 3 ай</t>
  </si>
  <si>
    <t>31 жыл 4 ай</t>
  </si>
  <si>
    <t>32 жыл</t>
  </si>
  <si>
    <t>22 жыл 1 ай</t>
  </si>
  <si>
    <t>15 жыл 9 ай</t>
  </si>
  <si>
    <t>10 жыл 1 ай</t>
  </si>
  <si>
    <t>10 жыл 4 ай</t>
  </si>
  <si>
    <t>7 жыл 4 ай</t>
  </si>
  <si>
    <t>12 жыл 4 ай</t>
  </si>
  <si>
    <t>33 жыл 2 ай</t>
  </si>
  <si>
    <t>28 жыл 5 ай</t>
  </si>
  <si>
    <t>11 жыл 1 ай</t>
  </si>
  <si>
    <t>3 жыл 6 ай</t>
  </si>
  <si>
    <t>11 жыл 4 ай</t>
  </si>
  <si>
    <t>8 жыл 9 ай</t>
  </si>
  <si>
    <t>31 жыл 9 ай</t>
  </si>
  <si>
    <t>27 жыл 9 ай</t>
  </si>
  <si>
    <t>19 жыл 7 ай</t>
  </si>
  <si>
    <t>16 жыл 4 ай</t>
  </si>
  <si>
    <t>13 жыл 9 ай</t>
  </si>
  <si>
    <t>24 жыл 3 ай</t>
  </si>
  <si>
    <t>18 жыл 4 ай</t>
  </si>
  <si>
    <t>19 жыл 4 ай</t>
  </si>
  <si>
    <t>19 жыл 1 ай</t>
  </si>
  <si>
    <t>16 жыл 3 ай</t>
  </si>
  <si>
    <t>15 жыл 5 ай</t>
  </si>
  <si>
    <t>28 жыл 3 ай</t>
  </si>
  <si>
    <t>15 жыл 8 ай</t>
  </si>
  <si>
    <t>15 жыл 3 ай</t>
  </si>
  <si>
    <t>14 жыл 3 ай</t>
  </si>
  <si>
    <t>11 жыл 5 ай</t>
  </si>
  <si>
    <t>11 жыл 3 ай</t>
  </si>
  <si>
    <t>8 жыл 5 ай</t>
  </si>
  <si>
    <t>11 жыл 7 ай</t>
  </si>
  <si>
    <t>15 жыл 6 ай</t>
  </si>
  <si>
    <t>22 жыл 9 ай</t>
  </si>
  <si>
    <t>20 жыл 3 ай</t>
  </si>
  <si>
    <t>17 жыл 5 ай</t>
  </si>
  <si>
    <t>14 жыл 9 ай</t>
  </si>
  <si>
    <t>17 жыл 8 ай</t>
  </si>
  <si>
    <t>30 жыл 2 ай</t>
  </si>
  <si>
    <t>9 жыл</t>
  </si>
  <si>
    <t>11 жыл 8 ай</t>
  </si>
  <si>
    <t>27 жыл 4 ай</t>
  </si>
  <si>
    <t>39 жыл 3 ай</t>
  </si>
  <si>
    <t>17 жыл 6 ай</t>
  </si>
  <si>
    <t>33 жыл 1 ай</t>
  </si>
  <si>
    <t>32 жыл 2 ай</t>
  </si>
  <si>
    <t>27 жыл 3 ай</t>
  </si>
  <si>
    <t>26 жыл 3 ай</t>
  </si>
  <si>
    <t>35 жыл</t>
  </si>
  <si>
    <t>4 жыл 4 ай</t>
  </si>
  <si>
    <t>32 жыл 1 ай</t>
  </si>
  <si>
    <t>5 ай</t>
  </si>
  <si>
    <t>15 жыл 10 ай</t>
  </si>
  <si>
    <t>21 жыл 9 ай</t>
  </si>
  <si>
    <t>22 жыл 4 ай</t>
  </si>
  <si>
    <t>21 жыл 2 ай</t>
  </si>
  <si>
    <t>20 жыл 4 ай</t>
  </si>
  <si>
    <t>16 жыл 8 ай</t>
  </si>
  <si>
    <t>18 жыл 5 ай</t>
  </si>
  <si>
    <t>21 жыл 3 ай</t>
  </si>
  <si>
    <t>20 жыл 2 ай</t>
  </si>
  <si>
    <t>17 жыл</t>
  </si>
  <si>
    <t>9 жыл 1 ай</t>
  </si>
  <si>
    <t>31 жыл 8 ай</t>
  </si>
  <si>
    <t>3 жыл 8 ай</t>
  </si>
  <si>
    <t>16 жыл 1 ай</t>
  </si>
  <si>
    <t>13 жыл 4 ай</t>
  </si>
  <si>
    <t>10 жыл 2 ай</t>
  </si>
  <si>
    <t>4 жыл 1 ай</t>
  </si>
  <si>
    <t>8 жыл 4 ай</t>
  </si>
  <si>
    <t>7 жыл 8 ай</t>
  </si>
  <si>
    <t>6 жыл 3 ай</t>
  </si>
  <si>
    <t>4 жыл 3 ай</t>
  </si>
  <si>
    <t>3 жыл 3 ай</t>
  </si>
  <si>
    <t>12 жыл 9 ай</t>
  </si>
  <si>
    <t>1 жыл 4 ай</t>
  </si>
  <si>
    <t>18 жыл 7 ай</t>
  </si>
  <si>
    <t>3 жыл 4 ай</t>
  </si>
  <si>
    <t>2 ай</t>
  </si>
  <si>
    <t>8 жыл 1 ай</t>
  </si>
  <si>
    <t>3 ай</t>
  </si>
  <si>
    <t>7-10 жж</t>
  </si>
  <si>
    <t>"Келісілген"</t>
  </si>
  <si>
    <t xml:space="preserve"> басқармасы басшысының </t>
  </si>
  <si>
    <t>орынбасары</t>
  </si>
  <si>
    <t>___________________А.Өсербаев</t>
  </si>
  <si>
    <t>"___"________________ 2022ж.</t>
  </si>
  <si>
    <t>Түркістан облысының  адами әлеуетті дамыту  басқармасыныңң "М.Тасова атындағы үш тілде оқытатын мамандандырылған №12 мектеп-интернат КММ-нің 
әкімшілік және азаматтық қызметкерлерінің   01 қаңтар 2022 жылдын  штат кестесі</t>
  </si>
  <si>
    <t>мұғалімдер</t>
  </si>
  <si>
    <t>Бас есепші:                              Ермаханова А.Ж.</t>
  </si>
  <si>
    <t>Нұсқау бойынша</t>
  </si>
  <si>
    <t>Нақты</t>
  </si>
  <si>
    <t>Ескерту</t>
  </si>
  <si>
    <t>Педагог-психолог</t>
  </si>
  <si>
    <t>Тәрбиеші</t>
  </si>
  <si>
    <t>Ғимаратта кешенді қызмет көрсететін және жөндейтін жұмысшы</t>
  </si>
  <si>
    <t>Күзетші, әрбір ғимаратқа</t>
  </si>
  <si>
    <t>Вахтер, әрбір ғимаратқа</t>
  </si>
  <si>
    <t>Еден жуушы</t>
  </si>
  <si>
    <t>Р/с№</t>
  </si>
  <si>
    <t>Қосымша ақылардың атауы</t>
  </si>
  <si>
    <t>Қосымша ақылардың түрлері</t>
  </si>
  <si>
    <t>Қосымша ақылардың мөлшері</t>
  </si>
  <si>
    <t>Ескертпе</t>
  </si>
  <si>
    <t>Лауазымдарды қоса атқарғаны (қызмет көрсету аймағының кеңейгені) үшін қосымша ақы</t>
  </si>
  <si>
    <t>1)</t>
  </si>
  <si>
    <t>Оқу орны жанындағы интернатқа меңгерушілік еткені үшін</t>
  </si>
  <si>
    <t>БЛА-дан 25 %</t>
  </si>
  <si>
    <t>Оқу орнында интернат меңгерушісінің лауазымы көзделмеген жағдайда</t>
  </si>
  <si>
    <t>2)</t>
  </si>
  <si>
    <t>Оқыту кабинеттерін (зертханаларды, шеберханаларды, оқу-консультациялық пункттерді) меңгергені үшін</t>
  </si>
  <si>
    <t>"Педагог мәртебесі туралы" 2019 жылғы 27 желтоқсандағы Қазақстан Республикасының Заңына сәйкес</t>
  </si>
  <si>
    <t>мектептерде, мектеп-интернаттарда, балалар үйлерінде</t>
  </si>
  <si>
    <t>БЛА-дан 20 %</t>
  </si>
  <si>
    <t>техникалық және кәсіптік, орта білімнен кейінгі білім беру ұйымдарында</t>
  </si>
  <si>
    <t>аралас шеберханалар болған кезде</t>
  </si>
  <si>
    <t>БЛА-дан 30 %</t>
  </si>
  <si>
    <t>3)</t>
  </si>
  <si>
    <t>Мектепке (оның ішінде музыкалық, көркемөнер, өнер мектебіне және т.б.) басшылық жасағаны үшін</t>
  </si>
  <si>
    <t>Директор лауазымы көзделмеген мектептерде</t>
  </si>
  <si>
    <t>4)</t>
  </si>
  <si>
    <t>Оқу жұмысына жетекшілік еткені үшін</t>
  </si>
  <si>
    <t>Директордың оқу ісі жөніндегі орынбасары лауазымы көзделмеген жеті жылдық музыка мектептерінде, өнер мектептерінде және көркемөнер мектептерінде</t>
  </si>
  <si>
    <t>5)</t>
  </si>
  <si>
    <t>Оқулықтардың кітапханалық қорымен жұмыс істегені үшін</t>
  </si>
  <si>
    <t>Ерекше еңбек жағдайлары үшін қосымша ақы</t>
  </si>
  <si>
    <t>Оқу-тәрбие мекемелерінің басшыларына құрамында кемінде екі арнайы тобы (сыныбы) бар жалпы мектептер мен мектепке дейінгі ұйымдарда мүмкіндіктері шектеулі, ұзақ уақыт емдеуді және айрықша тәрбие жағдайын қажет ететін балалармен, тәрбиеленушілермен жұмыс істегені үшін</t>
  </si>
  <si>
    <t>Сынып жетекшілігі (топ жетекшілігі) үшін</t>
  </si>
  <si>
    <t>1-4 сыныптар</t>
  </si>
  <si>
    <t>БЛА-дан 50 %</t>
  </si>
  <si>
    <t>5-11 (12) сыныптар</t>
  </si>
  <si>
    <t>БЛА-дан 60 %</t>
  </si>
  <si>
    <t>техникалық және кәсіптік, орта білімнен кейінгі білім беру ұйымдары</t>
  </si>
  <si>
    <t>Дәптерлерді және жазбаша жұмыстарды тексергені үшін</t>
  </si>
  <si>
    <t>"Білім туралы" 2007 жылғы 27 шілдедегі Қазақстан РеспубликасыныңЗаңына сәйкес.</t>
  </si>
  <si>
    <t>Қосымша ақы дәптер мен жазбаша жұмыстарды тексеру жұмыстың оқу жоспарында көзделген жағдайда белгіленеді</t>
  </si>
  <si>
    <t>1-4 сынып мұғалімдеріне</t>
  </si>
  <si>
    <t>БЛА-дан 40 %</t>
  </si>
  <si>
    <t>Оқу орыс тілінде жүретін мектептерде (сыныптарда) қазақ тілі мен басқа да ұлттық тілдерді және оқу ұлттық тілдерде жүретін мектептерде (сыныптарда) орыс тілін 1-4 сыныпта жүргізетін осы пәндердің мұғалімдеріне</t>
  </si>
  <si>
    <t>Жазбаша жұмыстарды тексергені үшін 5-11 (12) сынып мұғалімдеріне, техникалық және кәсіптік білім беру ұйымдарының оқытушыларына:</t>
  </si>
  <si>
    <t>қазақ, орыс тілдері, басқа ұлттық тілдер мен әдебиет бойынша;</t>
  </si>
  <si>
    <t>математика, химия, физика, биология, шет тілі, стенография, сызу, құрастыру, техникалық механика бойынша</t>
  </si>
  <si>
    <t>Мынадай:</t>
  </si>
  <si>
    <t>"Педагог мәртебесі туралы" 2019 жылғы 27 желтоқсандағы Қазақстан Республикасының Заңына сәйкес.</t>
  </si>
  <si>
    <t>білім беру ұйымдарында оқитын ерекше білім беру қажеттіліктері бар; психоневрологиялық паталогиясы бар (білім беру ұйымдарында оқуға тиіс емес) балалармен жұмыс істегені үшін</t>
  </si>
  <si>
    <t>Көрсетілген қосымша ақыны белгілеу тәртібі мен шарттарын білім беру саласындағы уәкілетті орган айқындайды</t>
  </si>
  <si>
    <t>Кәмелетке толмағандарды бейімдеу орталықтары мен тәрбие колонияларындағы, қылмыстық-атқару жүйесі мекемелері жанындағы техникалық және кәсіптік білім беру ұйымдарындағы, мектептердегі, кешкі (ауысымдық) жалпы орта білім беру мектептеріндегі және оқу-консультациялық пункттердегі және басқа да мінез-құлқы девиантты балаларға арналған мекемелердегі балалармен жұмыс істегені үшін</t>
  </si>
  <si>
    <t>6)</t>
  </si>
  <si>
    <t>Жетім балаларға, ата-анасының қамқорлығынсыз қалған балаларға арналған балалар үйлерінде, балалар интернат үйлерінде, отбасылық үлгідегі балалар үйлерінде, жетімханаларда, мектеп интернаттарда және мүмкіндіктері шектеулі балалар контингентінің интернат-үйлерінде, сәбилер үйлерінде (сыныптарда, топтарда) жетім балалар мен ата-анасының қамқорлығынсыз қалған балалармен жұмыс істегені үшін</t>
  </si>
  <si>
    <t>Жетім балаларға, ата-анасының қамқорлығынсыз қалған балаларға арналған балалар үйлерінде, балалар интернат үйлерінде, отбасылық үлгідегі балалар үйлерінде, жетімханаларда, мектеп-интернаттарда және дене бітімінің немесе ақыл-ойының дамуында кемістігі бар, ұзақ уақыт емделуді қажет ететін, психикалық дамуы артта қалған балалар контингентінің интернат-үйлерінде, сәбилер үйлерінде (сыныптарда, топтарда) қосымша ақылар екі негіздеме бойынша белгіленеді (жетім балалар мен ата-анасының қамқорлығынсыз қалған балалармен жұмыс істегені үшін және даму, оқу мүмкіндігі шектеулі балалармен жұмыс істегені үшін)</t>
  </si>
  <si>
    <t>7)</t>
  </si>
  <si>
    <t>Мүгедектерге арналған арнайы білім беру ұйымдарының қызметкерлеріне мүгедек балалармен жұмыс істегені үшін</t>
  </si>
  <si>
    <t>8)</t>
  </si>
  <si>
    <t>психикалық және психоневрологиялық аурулары бар 18 жастан асқан адамдармен жұмыс істегені үшін</t>
  </si>
  <si>
    <t>9)</t>
  </si>
  <si>
    <t>Мектепке дейінгі тәрбие және оқыту ұйымдарындағы тәрбиешілердің көмекшілеріне залалсыздандырғыш заттармен жұмыс істегені үшін</t>
  </si>
  <si>
    <t>10)</t>
  </si>
  <si>
    <t>Физика, химия, биология, информатика пәндері бойынша негізгі және жалпы орта білім беретін оқу бағдарламаларын техникалық және кәсіптік, орта білімнен кейінгі білімнің оқу бағдарламаларын ағылшын тілінде іске асыратын білім беру ұйымдарының мұғалімдеріне және оқытушыларына</t>
  </si>
  <si>
    <t>БЛА-дан 200 %-ға дейін</t>
  </si>
  <si>
    <t>11)</t>
  </si>
  <si>
    <t>Жаңартылған білім беру мазмұны бойынша бастауыш, негізгі және жалпы орта білім беретін оқу бағдарламаларын іске асыратын білім беру ұйымдарының мұғалімдеріне</t>
  </si>
  <si>
    <t>ЛА-дан 30 %</t>
  </si>
  <si>
    <t>Көрсетілген қосымша ақыны белгілеу тәртібі мен шарттарын білім беру саласындағы уәкілетті орган айқындайды. Аталған қосымша ақы лауазымдық айлықақыға нақты жүктемені ескере отырып белгіленеді.</t>
  </si>
  <si>
    <t>Бейіндік бағыттағы жекелеген пәндерді тереңдете оқытқаны үшін қосымша ақы</t>
  </si>
  <si>
    <t>Мамандандырылған мектептер мен дарынды балаларға арналған мектеп-интернаттарда, мектеп-интернат-колледждерде бейіндік бағыттағы пәндер бойынша педагогтерге</t>
  </si>
  <si>
    <t>Жекелеген пәндерді тереңдете оқытатын оқу орындарының (сыныптардың, топтардың) бейіндік бағыттағы пәндер бойынша жұмыс істейтін педагогтеріне;</t>
  </si>
  <si>
    <t>жаңашылдық, эксперименттік режимде жұмыс істейтін (лицейлердің, гимназиялардың, техникалық лицейлердің, мектепке дейінгі және жалпы білім беру бағытындағы оқу тәрбие кешендерінің), сондай-ақ балаларды тәрбиелеу шет тілінде жүргізілетін мектепке дейінгі тәрбиелеу және білім беру ұйымдарында жұмыс істейтін педагогтерге</t>
  </si>
  <si>
    <t>Ауыр (ерекше ауыр) қол еңбегі жұмыстарымен және еңбек жағдайлары зиянды (ерекше зиянды) және қауіпті (ерекше қауіпті) жұмыстармен айналысатын қызметкерлерге төленетін қосымша ақы</t>
  </si>
  <si>
    <t>2015 жылғы 23 қарашадағы Қазақстан Республикасының Еңбек кодексіне сәйкес және еңбек жөніндегі уәкілетті мемлекеттік орган бекіткен еңбек жағдайлары зиянды өндірістердің, цехтардың, кәсіптер мен лауазымдардың тізімі (тізбесі) негізінде</t>
  </si>
  <si>
    <t>Педагогтерге туберкулез (туберкулезге қарсы) мекемелерінде, диспансерлерінде, санаторийлерінде, санаторий-профилакторийлерінде, орталық аудандық ауруханалар бөлімшелерінде және басқа да денсаулық сақтау ұйымдары мен санаторий үлгісіндегі мектеп интернаттарда, мектепке дейінгі білім беру ұйымдарында жұмыс істегені үшін</t>
  </si>
  <si>
    <t>Біліктілік деңгейі үшін қосымша ақы</t>
  </si>
  <si>
    <t>Деңгейлі біліктілікті арттырудан өткен және тиісті деңгейдегі бағдарлама бойынша сертификат алған бастауыш, негізгі және жалпы орта білім беретін оқу бағдарламаларын іске асыратын білім беру ұйымдарының:</t>
  </si>
  <si>
    <t>ЛА-дан 100 %</t>
  </si>
  <si>
    <t>Көрсетілген қосымша ақыны белгілеу тәртібі мен шарттарын білім беру саласындағы уәкілетті орган айқындайды.</t>
  </si>
  <si>
    <t>бірінші (ілгері) деңгейдегі;</t>
  </si>
  <si>
    <t>ЛА-дан 70 %</t>
  </si>
  <si>
    <t>Аталған қосымша ақы лауазымдық айлықақыға нақты жүктемені ескере отырып, бірақ заңнамада белгіленген нормативтік оқу жүктемесінен асырылмай белгіленеді.</t>
  </si>
  <si>
    <t>екінші (негізгі) деңгейдегі;</t>
  </si>
  <si>
    <t>2016 жылғы 1 қаңтарға дейінгі біліктілік емтиханын тапсырған мұғалімдерге сертификаттың қолдану мерзімі аяқталғанға дейін төленеді</t>
  </si>
  <si>
    <t>үшінші (базалық) деңгейдегі мұғалімдеріне</t>
  </si>
  <si>
    <t>Өндірістік оқытуды ұйымдастырғаны үшін қосымша ақы</t>
  </si>
  <si>
    <t>Өндірістік оқытуды ұйымдастырғаны үшін</t>
  </si>
  <si>
    <t>БЛА-дан 100 %</t>
  </si>
  <si>
    <t>Техникалық және кәсіптік білім беру ұйымдарының өндірістік оқыту шеберлеріне</t>
  </si>
  <si>
    <t>Бастауыш, негізгі, орта және жалпы орта білім берудің жалпы білім беретін оқу бағдарламаларын іске асыратын білім беру ұйымдарының педагогикалық шеберлік біліктілігі бар мұғалімдеріне, педагог-психологтарына:</t>
  </si>
  <si>
    <t>Біліктілік санаты үшін қосымша ақы</t>
  </si>
  <si>
    <t>Көрсетілген қосымша ақыны белгілеу тәртібі мен шарттарын білім беру саласындағы уәкілетті орган айқындайды. Аталған қосымша ақы лауазымдық айлықақыға нақты жүктемені ескере отырып белгіленеді</t>
  </si>
  <si>
    <t>педагог-шебер</t>
  </si>
  <si>
    <t>ЛА-дан 50 %</t>
  </si>
  <si>
    <t>педагог-зерттеуші</t>
  </si>
  <si>
    <t>ЛА-дан 40 %</t>
  </si>
  <si>
    <t>педагог-сарапшы</t>
  </si>
  <si>
    <t>ЛА-дан 35 %</t>
  </si>
  <si>
    <t>педагог-модератор</t>
  </si>
  <si>
    <t>Жоғары және (немесе) жоғары оқу орнынан кейінгі білім беру ұйымдарының педагогтерін және реттік нөмірі 7-жолда көрсетілген педагогтерді қоспағанда, біліктілік санаты бар білім беру ұйымдарының педагогтеріне:</t>
  </si>
  <si>
    <t>Жоғары және (немесе) жоғары оқу орнынан кейінгі білім беру ұйымдарын қоспағанда, білім беру ұйымдарының басқару біліктілік санаты бар басшылары мен олардың орынбасарларына:</t>
  </si>
  <si>
    <t>ЛА-дан 100%</t>
  </si>
  <si>
    <t>- 1-санат</t>
  </si>
  <si>
    <t>ЛА-дан 50%</t>
  </si>
  <si>
    <t>- 2-санат</t>
  </si>
  <si>
    <t>ЛА-дан 30%</t>
  </si>
  <si>
    <t>- 3-санат</t>
  </si>
  <si>
    <t>Бастауыш, негізгі орта, жалпы орта білім беру ұйымдарының мұғалімдеріне;</t>
  </si>
  <si>
    <t>Ғылыми-педагогикалық бағыт бойынша магистр дәрежесі үшін қосымша ақы</t>
  </si>
  <si>
    <t>Республикалық бюджет туралы заңда белгіленген және тиісті қаржы жылының 1 қаңтарына қолданыста болатын 10 АЕК</t>
  </si>
  <si>
    <t>Көрсетілген қосымша ақы тиісті дипломы болған жағдайда және негізгі жұмыс орны бойынша нақты жүктемеге қарамастан белгіленеді</t>
  </si>
  <si>
    <t>әдістемелік кабинет (орталық) педагогтеріне</t>
  </si>
  <si>
    <t>Мәдениет және спорт саласындағы қызметті жүзеге асыратын білім беру ұйымдарын, әскери оқу орындарын қоспағанда, бастауыш, негізгі орта, жалпы орта білім беру ұйымдарының мұғалімдеріне</t>
  </si>
  <si>
    <t>Тәлімгерлік үшін қосымша ақы</t>
  </si>
  <si>
    <t>БЛА-дан 100%</t>
  </si>
  <si>
    <t>Көрсетілген қосымша ақы нақты жүктемеге қарамастан белгіленеді</t>
  </si>
  <si>
    <t>Жоғары және (немесе) жоғары оқу орнынан кейінгі білім беру ұйымдарын қоспағанда, білім беру ұйымдарының педагогтеріне</t>
  </si>
  <si>
    <t>Сабақтан тыс спорт сабақтарын жүргізгені үшін</t>
  </si>
  <si>
    <t xml:space="preserve">сағ            V-IX   </t>
  </si>
  <si>
    <t xml:space="preserve">сағ            X-XI   </t>
  </si>
  <si>
    <t xml:space="preserve">сағ            І-ІV  </t>
  </si>
  <si>
    <t xml:space="preserve">  І-ІV  </t>
  </si>
  <si>
    <t>Сынып жетекшілігі үшін</t>
  </si>
  <si>
    <t>5-11 сыныптар</t>
  </si>
  <si>
    <t>Дәптерлерді және жұмыстарды тексергені үшін</t>
  </si>
  <si>
    <t>магистр, доктор, наставник, за ведение внеурочных спортивных занятий</t>
  </si>
  <si>
    <t>ағылшын тілінде сабақ жүргізгеніне</t>
  </si>
  <si>
    <t>сомма</t>
  </si>
  <si>
    <t xml:space="preserve">сағат            </t>
  </si>
  <si>
    <t xml:space="preserve">B3-4                </t>
  </si>
  <si>
    <t>Итого</t>
  </si>
  <si>
    <t>Жиыны</t>
  </si>
  <si>
    <t>"Келісемін"</t>
  </si>
  <si>
    <t>Штат бір-лік</t>
  </si>
  <si>
    <t>Категория</t>
  </si>
  <si>
    <t>Еңбек өтілі</t>
  </si>
  <si>
    <t>Коэф.</t>
  </si>
  <si>
    <t>Доп кф</t>
  </si>
  <si>
    <t>Лауазымды жалақы</t>
  </si>
  <si>
    <t>Айырмасы</t>
  </si>
  <si>
    <t xml:space="preserve">B2-4                </t>
  </si>
  <si>
    <t>B2-4</t>
  </si>
  <si>
    <t xml:space="preserve"> кабинет меңгерушісі/</t>
  </si>
  <si>
    <t>А1-3</t>
  </si>
  <si>
    <t>А1-3-1</t>
  </si>
  <si>
    <t>Директордың оқу-ісі  бойынша  орынбасары:</t>
  </si>
  <si>
    <t xml:space="preserve">B2-2                </t>
  </si>
  <si>
    <t>B2-3</t>
  </si>
  <si>
    <t>B2-2</t>
  </si>
  <si>
    <t>физика</t>
  </si>
  <si>
    <t>химия</t>
  </si>
  <si>
    <t>Директордың оқу ісі жөніндегі орынбасары</t>
  </si>
  <si>
    <t>Директордың тәрбие ісі жөніндегі орынбасары</t>
  </si>
  <si>
    <t>Ұйымдастырушы педагог</t>
  </si>
  <si>
    <t>Аға вожатый</t>
  </si>
  <si>
    <t>ҚРҮ 2017 ж 30.01 № 77  қаулысы                 № 8 қосымша 29 тармақ, аз қамтылған бала саны 245</t>
  </si>
  <si>
    <t>Kітапханашы</t>
  </si>
  <si>
    <t>ҚРҮ 2017 ж 30.01 № 77  қаулысындғы 5 бөлімнің 1 ескерпесінде тәрбиеленушілердің саны 5-7 сыныптардағы тәрбиеленушілердің әрбір тобына 2 бірліктен болғандықтан 8 х2=16 тәрбиеші , 8-11 сыныптарда тәрбиеленуші  9 топ болғандықтан 9 х1= 9 бірліктен   тәрбиеші  барлығы 29 шт бірлік</t>
  </si>
  <si>
    <t>АӘД мұғалімі</t>
  </si>
  <si>
    <t>ҚРҮ 2017 ж 30.01 № 77  қаулысы                      № 8 қосымша  12  тармақ</t>
  </si>
  <si>
    <t>Лаборант</t>
  </si>
  <si>
    <t>ҚРҮ 2017 ж 30.01 № 77  қаулысы                      № 8 қосымша  15  тармаққа байланысты 12 жабдықталған кабинет әр кабинетке 0,5 штат бірліктен 6 шт бірлік қажет</t>
  </si>
  <si>
    <t xml:space="preserve">ҚРҮ 2017 ж 30.01 № 77  қаулысы                  № 8 қосымша 5   тармақша,    ғимараттың 500 шары метріне 1 штат бірлік  тазалайтын шаршы метрі 8500м2  </t>
  </si>
  <si>
    <t>ҚРҮ 2017 ж 30.01 № 77  қаулысы                 № 8 қосымша 7    тармақша,   сыпрылатын учаске саны  шаршы метрі 2800м2</t>
  </si>
  <si>
    <t xml:space="preserve"> Слесарь сантехник</t>
  </si>
  <si>
    <t>Коммисия мүшелері:</t>
  </si>
  <si>
    <t>Акбай Л.</t>
  </si>
  <si>
    <t>Асилбекова Ж.</t>
  </si>
  <si>
    <t>Алиев Т.</t>
  </si>
  <si>
    <t>Бекенов М.</t>
  </si>
  <si>
    <t>Кадырбаев А.</t>
  </si>
  <si>
    <t>Камалова З.</t>
  </si>
  <si>
    <t>Омарова К.</t>
  </si>
  <si>
    <t>Сариева Р.</t>
  </si>
  <si>
    <t>қазақ тілі</t>
  </si>
  <si>
    <t xml:space="preserve">B2-1                </t>
  </si>
  <si>
    <t xml:space="preserve">B2-3                </t>
  </si>
  <si>
    <t>информ</t>
  </si>
  <si>
    <t>бастауыш</t>
  </si>
  <si>
    <t>АӘжТД</t>
  </si>
  <si>
    <t>тарих</t>
  </si>
  <si>
    <t>дене.шын</t>
  </si>
  <si>
    <t>матем.</t>
  </si>
  <si>
    <t>орыс тіл</t>
  </si>
  <si>
    <t>музыка</t>
  </si>
  <si>
    <t>биолог.</t>
  </si>
  <si>
    <t>геогр.</t>
  </si>
  <si>
    <t>тарих/дін</t>
  </si>
  <si>
    <t>хим.био</t>
  </si>
  <si>
    <t>инфор.</t>
  </si>
  <si>
    <t>құқық</t>
  </si>
  <si>
    <t>түзету.с</t>
  </si>
  <si>
    <t>тарих/құқ</t>
  </si>
  <si>
    <t>көрк.еңб.</t>
  </si>
  <si>
    <t xml:space="preserve">B2-4               </t>
  </si>
  <si>
    <t>Л.Ақбай</t>
  </si>
  <si>
    <t>Ж.Өндірбеков</t>
  </si>
  <si>
    <t>Г.Сапарбаева</t>
  </si>
  <si>
    <t>Қ.Омарова</t>
  </si>
  <si>
    <t>Оқу ісі орынб</t>
  </si>
  <si>
    <t>Тәрбие орынб</t>
  </si>
  <si>
    <t>Ұйымд/педагог</t>
  </si>
  <si>
    <t>АӘжТД жетек.</t>
  </si>
  <si>
    <t>Тәлімгер</t>
  </si>
  <si>
    <t>Әлеум.педагог</t>
  </si>
  <si>
    <t>Кітапхана меңгеруш</t>
  </si>
  <si>
    <t>Кітапаханашы</t>
  </si>
  <si>
    <t>Іс жүргізуші</t>
  </si>
  <si>
    <t>зертхан-физика</t>
  </si>
  <si>
    <t>зертхан-информ</t>
  </si>
  <si>
    <t>зертхан-био/хим</t>
  </si>
  <si>
    <t>гардероб</t>
  </si>
  <si>
    <t>От жағушы</t>
  </si>
  <si>
    <t>Қарауыл</t>
  </si>
  <si>
    <t>еден жуушы</t>
  </si>
  <si>
    <t>сантехник</t>
  </si>
  <si>
    <t>электромонтер</t>
  </si>
  <si>
    <t>жұмысшы</t>
  </si>
  <si>
    <t>санитар</t>
  </si>
  <si>
    <t>Ерке А.</t>
  </si>
  <si>
    <t>Жылқыбаева М.</t>
  </si>
  <si>
    <t>Асылбекова Р.</t>
  </si>
  <si>
    <t>Раманова З.</t>
  </si>
  <si>
    <t>Бекенова К.</t>
  </si>
  <si>
    <t>Оналбекова М.</t>
  </si>
  <si>
    <t>Мустафаева К.</t>
  </si>
  <si>
    <t>Мусаева Р.</t>
  </si>
  <si>
    <t>Сейдалиева Д.</t>
  </si>
  <si>
    <t>Тасполатова А.</t>
  </si>
  <si>
    <t>Исхаков С.</t>
  </si>
  <si>
    <t>Балышев Н.</t>
  </si>
  <si>
    <t>Мусаев А.</t>
  </si>
  <si>
    <t>Шекеров Ж.</t>
  </si>
  <si>
    <t>Абдукаримова А.</t>
  </si>
  <si>
    <t>Беркинбаева З.</t>
  </si>
  <si>
    <t>Кадырбаева Б.</t>
  </si>
  <si>
    <t>Калыбаева Г.</t>
  </si>
  <si>
    <t>Карашева Ж.</t>
  </si>
  <si>
    <t>Жандабаев И.</t>
  </si>
  <si>
    <t>Байжаркинов Т.</t>
  </si>
  <si>
    <t>Курбанов Н.</t>
  </si>
  <si>
    <t>Шекеров Б.</t>
  </si>
  <si>
    <t>арн/орта</t>
  </si>
  <si>
    <t xml:space="preserve">B2-1              </t>
  </si>
  <si>
    <t xml:space="preserve">B3-3                </t>
  </si>
  <si>
    <t xml:space="preserve">A2-3                </t>
  </si>
  <si>
    <t xml:space="preserve">D-1                 </t>
  </si>
  <si>
    <t>1 р</t>
  </si>
  <si>
    <t>3 р</t>
  </si>
  <si>
    <t xml:space="preserve">                        Л.Ақбай</t>
  </si>
  <si>
    <t>кәсіптік бағдар</t>
  </si>
  <si>
    <t xml:space="preserve">C-2                 </t>
  </si>
  <si>
    <t>C-1</t>
  </si>
  <si>
    <t>Директордың шаруашылық жөніндегі орынбасары</t>
  </si>
  <si>
    <t>Kітапхана меңгерушісі</t>
  </si>
  <si>
    <t>ҚРҮ 2017 ж 30.01 №77 қаулысы                   30 сыныпқа және одан жоғары</t>
  </si>
  <si>
    <t>Директор:                                А.Кадырбаев</t>
  </si>
  <si>
    <t>IT инженер</t>
  </si>
  <si>
    <t>Электромонтер</t>
  </si>
  <si>
    <t>Санитар</t>
  </si>
  <si>
    <t>Кәсіптік бағдар</t>
  </si>
  <si>
    <t>Гардероб</t>
  </si>
  <si>
    <t xml:space="preserve">B2-1               </t>
  </si>
  <si>
    <t>Абдуллаева А.</t>
  </si>
  <si>
    <t>Тастанбекова Ш.</t>
  </si>
  <si>
    <t>Жандабаев Ж.</t>
  </si>
  <si>
    <t>Жумабеков Н</t>
  </si>
  <si>
    <t>Түркістан облысының адами әлеуетті дамыту басқармасының Келес ауданының адами әлеуетті дамыту бөлімінің  "№18 С.Қожанов атындағы жалпы                                            орта блім беретін мектебі" КММ-нің     01 қаңтар 2023 жыл  штат кестесіне анықтама</t>
  </si>
  <si>
    <t>географ</t>
  </si>
  <si>
    <t>Г.Асетова</t>
  </si>
  <si>
    <t>математ</t>
  </si>
  <si>
    <t>матем</t>
  </si>
  <si>
    <t>Шаихова О.</t>
  </si>
  <si>
    <r>
      <t xml:space="preserve">Зияндық үшін 40% </t>
    </r>
    <r>
      <rPr>
        <b/>
        <sz val="12"/>
        <color rgb="FFFF0000"/>
        <rFont val="Times New Roman"/>
        <family val="1"/>
        <charset val="204"/>
      </rPr>
      <t>(үйінде,</t>
    </r>
    <r>
      <rPr>
        <b/>
        <sz val="12"/>
        <rFont val="Times New Roman"/>
        <family val="1"/>
        <charset val="204"/>
      </rPr>
      <t xml:space="preserve"> арнайы сыныпта жұмыс)</t>
    </r>
  </si>
  <si>
    <t>оқушылар саны 01.09.2023ж.</t>
  </si>
  <si>
    <t>кл. компл. саны 01.09.2023ж.</t>
  </si>
  <si>
    <t>сынып саны 01.09.2023ж.</t>
  </si>
  <si>
    <t xml:space="preserve">Келес  аудандық </t>
  </si>
  <si>
    <t>Доскараева Ж.</t>
  </si>
  <si>
    <t>Есмуханова Ж.</t>
  </si>
  <si>
    <t>Дилманова А.</t>
  </si>
  <si>
    <t>Шаруаш.ісі орынб.</t>
  </si>
  <si>
    <r>
      <t xml:space="preserve">Сынып-тық білікті-лігі үшін 
</t>
    </r>
    <r>
      <rPr>
        <b/>
        <i/>
        <sz val="10"/>
        <rFont val="Times New Roman"/>
        <family val="1"/>
        <charset val="204"/>
      </rPr>
      <t>(жүргізушілер)</t>
    </r>
  </si>
  <si>
    <t>IT-инженер</t>
  </si>
  <si>
    <t>зертханашы</t>
  </si>
  <si>
    <t>"Бекітемін"                                                                                                  Келес аудандық білім бөлімінің  №18 С.Қожанов атындағы жалпы  орта білім беретін мектебі»                                                                     КММ-нің  директоры                                         _________________А.Кадырбаев</t>
  </si>
  <si>
    <t>Шекерова А</t>
  </si>
  <si>
    <t xml:space="preserve">қосымша
  кофи-цент 1,3 </t>
  </si>
  <si>
    <t>Білімі
жоғары орта арнайы</t>
  </si>
  <si>
    <t>_________________ Н.Сманов</t>
  </si>
  <si>
    <t>білім бөлімінің басшысы м.а.</t>
  </si>
  <si>
    <t>әкімшілік және азаматтық қызметкерлерінің   03 қаңтар 2024 жылдың тарификациялау тізімі</t>
  </si>
  <si>
    <t>Усманова Г.</t>
  </si>
  <si>
    <t>Кенжебай Г.</t>
  </si>
  <si>
    <t>Жумабай А.</t>
  </si>
  <si>
    <t>В2-4</t>
  </si>
  <si>
    <t>кәсіп.бағд.</t>
  </si>
  <si>
    <t>Келес  ауданының білім бөліміне қарасты №18 С.Қожанов атындағы жалпы білім беретін мектебі» КММ-нің</t>
  </si>
  <si>
    <t>Келес  аудандық білім бөлімінің «№18 С.Қожанов" атындағы жалпы білім беретін мектебі» КММ-нің 
әкімшілік және азаматтық қызметкерлерінің   03 қаңтар 2024 жылдын  тарификациялау тізімі</t>
  </si>
  <si>
    <t>"Бекітемін"                                                                              Келес аудандық білім бөлімінің  «№18 "С.Қожанов" жалпы білім беретін мектебі»  КММ-нің  директоры               _________________                  А.Кадырбаев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</si>
</sst>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41" x14ac:knownFonts="1">
    <font>
      <sz val="10"/>
      <name val="Arial"/>
    </font>
    <font>
      <sz val="10"/>
      <name val="Arial"/>
      <family val="2"/>
      <charset val="204"/>
    </font>
    <font>
      <sz val="10"/>
      <name val="Times New Roman"/>
      <family val="1"/>
      <charset val="204"/>
    </font>
    <font>
      <sz val="11"/>
      <name val="Times New Roman"/>
      <family val="1"/>
      <charset val="204"/>
    </font>
    <font>
      <sz val="12"/>
      <name val="Times New Roman"/>
      <family val="1"/>
      <charset val="204"/>
    </font>
    <font>
      <sz val="9"/>
      <name val="Times New Roman"/>
      <family val="1"/>
      <charset val="204"/>
    </font>
    <font>
      <b/>
      <sz val="9"/>
      <name val="Times New Roman"/>
      <family val="1"/>
      <charset val="204"/>
    </font>
    <font>
      <b/>
      <sz val="10"/>
      <name val="Times New Roman"/>
      <family val="1"/>
      <charset val="204"/>
    </font>
    <font>
      <b/>
      <sz val="12"/>
      <name val="Times New Roman"/>
      <family val="1"/>
      <charset val="204"/>
    </font>
    <font>
      <b/>
      <sz val="11"/>
      <name val="Times New Roman"/>
      <family val="1"/>
      <charset val="204"/>
    </font>
    <font>
      <sz val="10"/>
      <name val="Arial"/>
      <family val="2"/>
      <charset val="204"/>
    </font>
    <font>
      <sz val="7"/>
      <name val="Times New Roman"/>
      <family val="1"/>
      <charset val="204"/>
    </font>
    <font>
      <b/>
      <sz val="10.5"/>
      <name val="Times New Roman"/>
      <family val="1"/>
      <charset val="204"/>
    </font>
    <font>
      <b/>
      <sz val="7"/>
      <name val="Times New Roman"/>
      <family val="1"/>
      <charset val="204"/>
    </font>
    <font>
      <sz val="10"/>
      <name val="Arial"/>
      <family val="2"/>
      <charset val="204"/>
    </font>
    <font>
      <sz val="8"/>
      <name val="Times New Roman"/>
      <family val="1"/>
      <charset val="204"/>
    </font>
    <font>
      <b/>
      <i/>
      <sz val="10"/>
      <name val="Times New Roman"/>
      <family val="1"/>
      <charset val="204"/>
    </font>
    <font>
      <sz val="11"/>
      <name val="Arial"/>
      <family val="2"/>
      <charset val="204"/>
    </font>
    <font>
      <b/>
      <i/>
      <sz val="12"/>
      <name val="Times New Roman"/>
      <family val="1"/>
      <charset val="204"/>
    </font>
    <font>
      <sz val="12"/>
      <color indexed="8"/>
      <name val="Times New Roman"/>
      <family val="1"/>
      <charset val="204"/>
    </font>
    <font>
      <sz val="11"/>
      <color theme="1"/>
      <name val="Calibri"/>
      <family val="2"/>
      <charset val="204"/>
      <scheme val="minor"/>
    </font>
    <font>
      <u/>
      <sz val="10"/>
      <color theme="10"/>
      <name val="Arial"/>
      <family val="2"/>
      <charset val="204"/>
    </font>
    <font>
      <sz val="10"/>
      <color rgb="FFFF0000"/>
      <name val="Times New Roman"/>
      <family val="1"/>
      <charset val="204"/>
    </font>
    <font>
      <b/>
      <sz val="10"/>
      <color rgb="FFFF0000"/>
      <name val="Times New Roman"/>
      <family val="1"/>
      <charset val="204"/>
    </font>
    <font>
      <b/>
      <sz val="11"/>
      <color rgb="FFFF0000"/>
      <name val="Times New Roman"/>
      <family val="1"/>
      <charset val="204"/>
    </font>
    <font>
      <sz val="11"/>
      <color rgb="FFFF0000"/>
      <name val="Times New Roman"/>
      <family val="1"/>
      <charset val="204"/>
    </font>
    <font>
      <sz val="9"/>
      <color rgb="FFFF0000"/>
      <name val="Times New Roman"/>
      <family val="1"/>
      <charset val="204"/>
    </font>
    <font>
      <b/>
      <sz val="9"/>
      <color rgb="FFFF0000"/>
      <name val="Times New Roman"/>
      <family val="1"/>
      <charset val="204"/>
    </font>
    <font>
      <sz val="12"/>
      <color rgb="FFFF0000"/>
      <name val="Times New Roman"/>
      <family val="1"/>
      <charset val="204"/>
    </font>
    <font>
      <sz val="7"/>
      <color rgb="FFFF0000"/>
      <name val="Times New Roman"/>
      <family val="1"/>
      <charset val="204"/>
    </font>
    <font>
      <sz val="10"/>
      <color rgb="FFFF0000"/>
      <name val="Arial"/>
      <family val="2"/>
      <charset val="204"/>
    </font>
    <font>
      <b/>
      <sz val="12"/>
      <color rgb="FFFF0000"/>
      <name val="Times New Roman"/>
      <family val="1"/>
      <charset val="204"/>
    </font>
    <font>
      <sz val="11"/>
      <color theme="1"/>
      <name val="Times New Roman"/>
      <family val="1"/>
      <charset val="204"/>
    </font>
    <font>
      <sz val="10"/>
      <color theme="0"/>
      <name val="Arial"/>
      <family val="2"/>
      <charset val="204"/>
    </font>
    <font>
      <sz val="10"/>
      <color theme="1"/>
      <name val="Calibri"/>
      <family val="2"/>
      <charset val="204"/>
      <scheme val="minor"/>
    </font>
    <font>
      <sz val="10"/>
      <color theme="1"/>
      <name val="Times New Roman"/>
      <family val="1"/>
      <charset val="204"/>
    </font>
    <font>
      <sz val="11"/>
      <color rgb="FF000000"/>
      <name val="Times New Roman"/>
      <family val="1"/>
      <charset val="204"/>
    </font>
    <font>
      <b/>
      <sz val="10.5"/>
      <color rgb="FFFF0000"/>
      <name val="Times New Roman"/>
      <family val="1"/>
      <charset val="204"/>
    </font>
    <font>
      <sz val="12"/>
      <color theme="1"/>
      <name val="Times New Roman"/>
      <family val="1"/>
      <charset val="204"/>
    </font>
    <font>
      <sz val="9"/>
      <color theme="1"/>
      <name val="Times New Roman"/>
      <family val="1"/>
      <charset val="204"/>
    </font>
    <font>
      <sz val="9"/>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0">
    <xf numFmtId="0" fontId="0" fillId="0" borderId="0"/>
    <xf numFmtId="0" fontId="21" fillId="0" borderId="0" applyNumberFormat="0" applyFill="0" applyBorder="0" applyAlignment="0" applyProtection="0"/>
    <xf numFmtId="0" fontId="10" fillId="0" borderId="0"/>
    <xf numFmtId="0" fontId="10" fillId="0" borderId="0"/>
    <xf numFmtId="0" fontId="10" fillId="0" borderId="0"/>
    <xf numFmtId="0" fontId="20" fillId="0" borderId="0"/>
    <xf numFmtId="0" fontId="20" fillId="0" borderId="0"/>
    <xf numFmtId="0" fontId="20" fillId="0" borderId="0"/>
    <xf numFmtId="0" fontId="14" fillId="0" borderId="0"/>
    <xf numFmtId="164" fontId="1" fillId="0" borderId="0" applyFont="0" applyFill="0" applyBorder="0" applyAlignment="0" applyProtection="0"/>
  </cellStyleXfs>
  <cellXfs count="497">
    <xf numFmtId="0" fontId="0" fillId="0" borderId="0" xfId="0"/>
    <xf numFmtId="0" fontId="3" fillId="0" borderId="0" xfId="0" applyFont="1" applyAlignment="1">
      <alignment horizontal="center"/>
    </xf>
    <xf numFmtId="0" fontId="11" fillId="0" borderId="0" xfId="0" applyFont="1"/>
    <xf numFmtId="0" fontId="3" fillId="0" borderId="0" xfId="0" applyFont="1"/>
    <xf numFmtId="1" fontId="9" fillId="0" borderId="0" xfId="0" applyNumberFormat="1" applyFont="1" applyAlignment="1">
      <alignment horizontal="center"/>
    </xf>
    <xf numFmtId="0" fontId="4" fillId="0" borderId="0" xfId="0" applyFont="1"/>
    <xf numFmtId="49" fontId="4" fillId="0" borderId="0" xfId="0" applyNumberFormat="1" applyFont="1"/>
    <xf numFmtId="1" fontId="4" fillId="0" borderId="0" xfId="0" applyNumberFormat="1" applyFont="1"/>
    <xf numFmtId="1" fontId="4" fillId="0" borderId="0" xfId="0" applyNumberFormat="1" applyFont="1" applyAlignment="1">
      <alignment horizontal="center"/>
    </xf>
    <xf numFmtId="0" fontId="11" fillId="0" borderId="0" xfId="0" applyFont="1" applyAlignment="1">
      <alignment horizontal="center"/>
    </xf>
    <xf numFmtId="1" fontId="11" fillId="0" borderId="0" xfId="0" applyNumberFormat="1" applyFont="1" applyAlignment="1">
      <alignment horizontal="center"/>
    </xf>
    <xf numFmtId="165" fontId="11" fillId="0" borderId="0" xfId="0" applyNumberFormat="1" applyFont="1" applyAlignment="1">
      <alignment horizontal="center"/>
    </xf>
    <xf numFmtId="1" fontId="3" fillId="0" borderId="0" xfId="0" applyNumberFormat="1" applyFont="1" applyAlignment="1">
      <alignment horizontal="center"/>
    </xf>
    <xf numFmtId="0" fontId="3" fillId="0" borderId="0" xfId="0" applyFont="1" applyAlignment="1">
      <alignment horizontal="left"/>
    </xf>
    <xf numFmtId="0" fontId="10"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xf>
    <xf numFmtId="3" fontId="3" fillId="0" borderId="0" xfId="0" applyNumberFormat="1" applyFont="1"/>
    <xf numFmtId="3" fontId="4" fillId="0" borderId="0" xfId="0" applyNumberFormat="1" applyFont="1"/>
    <xf numFmtId="0" fontId="1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3" fontId="9" fillId="0" borderId="1" xfId="0" applyNumberFormat="1" applyFont="1" applyBorder="1" applyAlignment="1">
      <alignment horizontal="center" vertical="center"/>
    </xf>
    <xf numFmtId="3" fontId="9" fillId="0" borderId="1" xfId="0" applyNumberFormat="1" applyFont="1" applyBorder="1" applyAlignment="1">
      <alignment vertical="center"/>
    </xf>
    <xf numFmtId="3" fontId="13" fillId="0" borderId="0" xfId="0" applyNumberFormat="1" applyFont="1"/>
    <xf numFmtId="9" fontId="3" fillId="0" borderId="1" xfId="0" applyNumberFormat="1" applyFont="1" applyBorder="1" applyAlignment="1">
      <alignment horizontal="center" vertical="center"/>
    </xf>
    <xf numFmtId="9" fontId="0" fillId="0" borderId="0" xfId="0" applyNumberFormat="1"/>
    <xf numFmtId="9" fontId="11" fillId="0" borderId="0" xfId="0" applyNumberFormat="1" applyFont="1"/>
    <xf numFmtId="9" fontId="3" fillId="0" borderId="0" xfId="0" applyNumberFormat="1" applyFont="1"/>
    <xf numFmtId="9" fontId="3" fillId="0" borderId="0" xfId="0" applyNumberFormat="1" applyFont="1" applyAlignment="1">
      <alignment horizontal="center" vertical="center"/>
    </xf>
    <xf numFmtId="165" fontId="3" fillId="0" borderId="0" xfId="0" applyNumberFormat="1" applyFont="1" applyAlignment="1">
      <alignment horizontal="center"/>
    </xf>
    <xf numFmtId="9" fontId="7" fillId="0" borderId="1"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3" fontId="0" fillId="0" borderId="0" xfId="0" applyNumberFormat="1"/>
    <xf numFmtId="3" fontId="11" fillId="0" borderId="0" xfId="0" applyNumberFormat="1" applyFont="1"/>
    <xf numFmtId="3" fontId="12"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3"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1" fontId="7" fillId="0" borderId="0" xfId="0" applyNumberFormat="1" applyFont="1" applyAlignment="1">
      <alignment horizontal="left" vertical="center"/>
    </xf>
    <xf numFmtId="0" fontId="7" fillId="0" borderId="0" xfId="0" applyFont="1"/>
    <xf numFmtId="0" fontId="7" fillId="0" borderId="0" xfId="0" applyFont="1" applyAlignment="1">
      <alignment horizontal="left" vertical="center"/>
    </xf>
    <xf numFmtId="3" fontId="7" fillId="0" borderId="0" xfId="0" applyNumberFormat="1" applyFont="1"/>
    <xf numFmtId="165" fontId="9" fillId="0" borderId="0" xfId="0" applyNumberFormat="1" applyFont="1" applyAlignment="1">
      <alignment horizontal="center"/>
    </xf>
    <xf numFmtId="3" fontId="9" fillId="0" borderId="0" xfId="0" applyNumberFormat="1" applyFont="1"/>
    <xf numFmtId="3" fontId="7" fillId="0" borderId="1" xfId="0" applyNumberFormat="1" applyFont="1" applyBorder="1" applyAlignment="1">
      <alignment horizontal="center" vertical="center" wrapText="1"/>
    </xf>
    <xf numFmtId="0" fontId="5" fillId="3" borderId="1" xfId="2" applyFont="1" applyFill="1" applyBorder="1" applyAlignment="1">
      <alignment horizontal="center" vertical="center"/>
    </xf>
    <xf numFmtId="0" fontId="15" fillId="3" borderId="1" xfId="2" applyFont="1" applyFill="1" applyBorder="1" applyAlignment="1">
      <alignment horizontal="center" vertical="center"/>
    </xf>
    <xf numFmtId="0" fontId="2" fillId="3" borderId="1" xfId="2" applyFont="1" applyFill="1" applyBorder="1" applyAlignment="1">
      <alignment horizontal="left" vertical="center" wrapText="1"/>
    </xf>
    <xf numFmtId="0" fontId="2" fillId="3" borderId="16" xfId="2" applyFont="1" applyFill="1" applyBorder="1" applyAlignment="1">
      <alignment horizontal="left" vertical="center" wrapText="1"/>
    </xf>
    <xf numFmtId="0" fontId="2" fillId="3" borderId="1" xfId="2" applyFont="1" applyFill="1" applyBorder="1" applyAlignment="1">
      <alignment horizontal="left" vertical="top" wrapText="1"/>
    </xf>
    <xf numFmtId="0" fontId="2" fillId="3" borderId="1" xfId="2" applyFont="1" applyFill="1" applyBorder="1" applyAlignment="1">
      <alignment vertical="top" wrapText="1"/>
    </xf>
    <xf numFmtId="164" fontId="2" fillId="3" borderId="16" xfId="9" applyFont="1" applyFill="1" applyBorder="1" applyAlignment="1">
      <alignment horizontal="left" vertical="center" wrapText="1"/>
    </xf>
    <xf numFmtId="0" fontId="2" fillId="3" borderId="2" xfId="2" applyFont="1" applyFill="1" applyBorder="1" applyAlignment="1">
      <alignment horizontal="left" vertical="center" wrapText="1"/>
    </xf>
    <xf numFmtId="0" fontId="2" fillId="3" borderId="1" xfId="2" applyFont="1" applyFill="1" applyBorder="1" applyAlignment="1">
      <alignment vertical="center" wrapText="1"/>
    </xf>
    <xf numFmtId="0" fontId="2" fillId="3" borderId="1" xfId="2" applyFont="1" applyFill="1" applyBorder="1" applyAlignment="1">
      <alignment vertical="center"/>
    </xf>
    <xf numFmtId="0" fontId="2" fillId="3" borderId="0" xfId="2" applyFont="1" applyFill="1" applyAlignment="1">
      <alignment horizontal="left" vertical="center" wrapText="1"/>
    </xf>
    <xf numFmtId="0" fontId="2" fillId="3" borderId="17" xfId="2" applyFont="1" applyFill="1" applyBorder="1" applyAlignment="1">
      <alignment horizontal="left" vertical="center" wrapText="1"/>
    </xf>
    <xf numFmtId="0" fontId="5" fillId="3" borderId="4" xfId="2" applyFont="1" applyFill="1" applyBorder="1" applyAlignment="1">
      <alignment horizontal="center" vertical="center"/>
    </xf>
    <xf numFmtId="1" fontId="5" fillId="3" borderId="1" xfId="2" applyNumberFormat="1" applyFont="1" applyFill="1" applyBorder="1" applyAlignment="1">
      <alignment horizontal="center" vertical="center"/>
    </xf>
    <xf numFmtId="1" fontId="5" fillId="3" borderId="4" xfId="2" applyNumberFormat="1" applyFont="1" applyFill="1" applyBorder="1" applyAlignment="1">
      <alignment horizontal="center" vertical="center"/>
    </xf>
    <xf numFmtId="1" fontId="3" fillId="3" borderId="1" xfId="2" applyNumberFormat="1" applyFont="1" applyFill="1" applyBorder="1" applyAlignment="1">
      <alignment horizontal="center" vertical="center"/>
    </xf>
    <xf numFmtId="0" fontId="3" fillId="3" borderId="1" xfId="2" applyFont="1" applyFill="1" applyBorder="1" applyAlignment="1">
      <alignment horizontal="center" vertical="center"/>
    </xf>
    <xf numFmtId="3" fontId="3" fillId="3" borderId="1" xfId="0" applyNumberFormat="1" applyFont="1" applyFill="1" applyBorder="1" applyAlignment="1">
      <alignment horizontal="center" vertical="center"/>
    </xf>
    <xf numFmtId="9" fontId="3"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8" fillId="3" borderId="0" xfId="0" applyNumberFormat="1" applyFont="1" applyFill="1" applyAlignment="1">
      <alignment horizontal="left" vertical="center"/>
    </xf>
    <xf numFmtId="0" fontId="8" fillId="3" borderId="0" xfId="0" applyFont="1" applyFill="1" applyAlignment="1">
      <alignment horizontal="left" vertical="center"/>
    </xf>
    <xf numFmtId="1" fontId="8" fillId="3" borderId="0" xfId="2" applyNumberFormat="1" applyFont="1" applyFill="1" applyAlignment="1">
      <alignment horizontal="left" vertical="center"/>
    </xf>
    <xf numFmtId="0" fontId="7" fillId="0" borderId="0" xfId="2" applyFont="1" applyAlignment="1">
      <alignment vertical="center"/>
    </xf>
    <xf numFmtId="1" fontId="7" fillId="0" borderId="0" xfId="2" applyNumberFormat="1" applyFont="1" applyAlignment="1">
      <alignment vertical="center"/>
    </xf>
    <xf numFmtId="165" fontId="7" fillId="0" borderId="0" xfId="2" applyNumberFormat="1" applyFont="1" applyAlignment="1">
      <alignment horizontal="center" vertical="center"/>
    </xf>
    <xf numFmtId="0" fontId="7" fillId="0" borderId="0" xfId="2" applyFont="1" applyAlignment="1">
      <alignment horizontal="center" vertical="center"/>
    </xf>
    <xf numFmtId="165" fontId="7" fillId="0" borderId="0" xfId="2" applyNumberFormat="1" applyFont="1" applyAlignment="1">
      <alignment vertical="center"/>
    </xf>
    <xf numFmtId="0" fontId="7" fillId="0" borderId="2" xfId="2" applyFont="1" applyBorder="1" applyAlignment="1">
      <alignment horizontal="center" vertical="center"/>
    </xf>
    <xf numFmtId="0" fontId="7" fillId="0" borderId="1" xfId="2" applyFont="1" applyBorder="1" applyAlignment="1">
      <alignment vertical="center"/>
    </xf>
    <xf numFmtId="0" fontId="16" fillId="0" borderId="0" xfId="2" applyFont="1" applyAlignment="1">
      <alignment vertical="center"/>
    </xf>
    <xf numFmtId="165" fontId="16" fillId="0" borderId="0" xfId="2" applyNumberFormat="1" applyFont="1" applyAlignment="1">
      <alignment horizontal="center" vertical="center"/>
    </xf>
    <xf numFmtId="0" fontId="16" fillId="0" borderId="0" xfId="2" applyFont="1" applyAlignment="1">
      <alignment horizontal="center" vertical="center"/>
    </xf>
    <xf numFmtId="165" fontId="16" fillId="0" borderId="0" xfId="2" applyNumberFormat="1" applyFont="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1" fontId="7" fillId="0" borderId="1" xfId="2" applyNumberFormat="1" applyFont="1" applyBorder="1" applyAlignment="1">
      <alignment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2" xfId="2" applyFont="1" applyBorder="1" applyAlignment="1">
      <alignment horizontal="left" vertical="center"/>
    </xf>
    <xf numFmtId="0" fontId="7" fillId="0" borderId="1" xfId="2" applyFont="1" applyBorder="1" applyAlignment="1">
      <alignment horizontal="center" vertical="center"/>
    </xf>
    <xf numFmtId="0" fontId="2" fillId="0" borderId="0" xfId="0" applyFont="1" applyAlignment="1">
      <alignment horizontal="left"/>
    </xf>
    <xf numFmtId="0" fontId="2" fillId="0" borderId="0" xfId="0" applyFont="1"/>
    <xf numFmtId="3" fontId="2" fillId="0" borderId="0" xfId="0" applyNumberFormat="1" applyFont="1"/>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3"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xf>
    <xf numFmtId="49" fontId="2" fillId="0" borderId="0" xfId="0" applyNumberFormat="1" applyFont="1"/>
    <xf numFmtId="0" fontId="3" fillId="3" borderId="1" xfId="0" applyFont="1" applyFill="1" applyBorder="1" applyAlignment="1">
      <alignment horizontal="center" vertical="center" wrapText="1"/>
    </xf>
    <xf numFmtId="0" fontId="2" fillId="0" borderId="0" xfId="0" applyFont="1" applyAlignment="1">
      <alignment horizontal="center" vertical="top"/>
    </xf>
    <xf numFmtId="0" fontId="22" fillId="0" borderId="0" xfId="0" applyFont="1"/>
    <xf numFmtId="2" fontId="22" fillId="3" borderId="1" xfId="0" applyNumberFormat="1" applyFont="1" applyFill="1" applyBorder="1" applyAlignment="1">
      <alignment horizontal="center" vertical="center" wrapText="1"/>
    </xf>
    <xf numFmtId="2" fontId="22" fillId="3" borderId="1" xfId="2" applyNumberFormat="1" applyFont="1" applyFill="1" applyBorder="1" applyAlignment="1">
      <alignment horizontal="center"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0" borderId="6" xfId="0" applyFont="1" applyBorder="1" applyAlignment="1">
      <alignment vertical="center"/>
    </xf>
    <xf numFmtId="0" fontId="23" fillId="0" borderId="7" xfId="0" applyFont="1" applyBorder="1" applyAlignment="1">
      <alignment vertical="center"/>
    </xf>
    <xf numFmtId="0" fontId="2" fillId="0" borderId="7"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24" fillId="0" borderId="8"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4" fillId="0" borderId="3" xfId="0" applyFont="1" applyBorder="1" applyAlignment="1">
      <alignment horizontal="center" vertical="center"/>
    </xf>
    <xf numFmtId="0" fontId="23" fillId="0" borderId="0" xfId="2" applyFont="1" applyAlignment="1">
      <alignment horizontal="center" vertical="center"/>
    </xf>
    <xf numFmtId="0" fontId="25" fillId="0" borderId="0" xfId="0" applyFont="1" applyAlignment="1">
      <alignment horizontal="center" vertical="center"/>
    </xf>
    <xf numFmtId="2" fontId="26" fillId="3" borderId="1" xfId="2" applyNumberFormat="1" applyFont="1" applyFill="1" applyBorder="1" applyAlignment="1">
      <alignment horizontal="center" vertical="center"/>
    </xf>
    <xf numFmtId="2" fontId="27" fillId="3" borderId="1" xfId="2" applyNumberFormat="1" applyFont="1" applyFill="1" applyBorder="1" applyAlignment="1">
      <alignment horizontal="center" vertical="center"/>
    </xf>
    <xf numFmtId="2" fontId="26" fillId="3" borderId="10" xfId="2" applyNumberFormat="1" applyFont="1" applyFill="1" applyBorder="1" applyAlignment="1">
      <alignment horizontal="center" vertical="center"/>
    </xf>
    <xf numFmtId="2" fontId="26" fillId="3" borderId="4" xfId="2" applyNumberFormat="1" applyFont="1" applyFill="1" applyBorder="1" applyAlignment="1">
      <alignment horizontal="center" vertical="center"/>
    </xf>
    <xf numFmtId="3" fontId="24" fillId="0" borderId="1" xfId="0" applyNumberFormat="1" applyFont="1" applyBorder="1" applyAlignment="1">
      <alignment horizontal="center" vertical="center"/>
    </xf>
    <xf numFmtId="0" fontId="28" fillId="0" borderId="0" xfId="0" applyFont="1"/>
    <xf numFmtId="0" fontId="29" fillId="0" borderId="0" xfId="0" applyFont="1"/>
    <xf numFmtId="0" fontId="30" fillId="0" borderId="0" xfId="0" applyFont="1"/>
    <xf numFmtId="3" fontId="7" fillId="3" borderId="10"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65" fontId="16" fillId="0" borderId="0" xfId="2" applyNumberFormat="1" applyFont="1" applyAlignment="1">
      <alignment horizontal="center" vertical="center" wrapText="1"/>
    </xf>
    <xf numFmtId="0" fontId="2" fillId="3" borderId="1" xfId="2" applyFont="1" applyFill="1" applyBorder="1" applyAlignment="1">
      <alignment horizontal="center" vertical="center" wrapText="1"/>
    </xf>
    <xf numFmtId="2" fontId="2" fillId="3" borderId="1" xfId="2"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Border="1" applyAlignment="1">
      <alignment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xf>
    <xf numFmtId="0" fontId="4" fillId="3" borderId="0" xfId="0" applyFont="1" applyFill="1" applyAlignment="1">
      <alignment vertical="center"/>
    </xf>
    <xf numFmtId="0" fontId="2"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3" fontId="2" fillId="3" borderId="1" xfId="0" applyNumberFormat="1" applyFont="1" applyFill="1" applyBorder="1" applyAlignment="1">
      <alignment horizontal="center" vertical="center"/>
    </xf>
    <xf numFmtId="3" fontId="2" fillId="3" borderId="0" xfId="0" applyNumberFormat="1" applyFont="1" applyFill="1" applyAlignment="1">
      <alignment horizontal="center" vertical="center"/>
    </xf>
    <xf numFmtId="3" fontId="2" fillId="3"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7" fillId="0" borderId="0" xfId="2" applyFont="1" applyAlignment="1">
      <alignment horizontal="left" vertical="center"/>
    </xf>
    <xf numFmtId="3" fontId="9" fillId="0" borderId="0" xfId="0" applyNumberFormat="1" applyFont="1" applyAlignment="1">
      <alignment horizontal="center" vertical="center"/>
    </xf>
    <xf numFmtId="3" fontId="9" fillId="0" borderId="0" xfId="0" applyNumberFormat="1" applyFont="1" applyAlignment="1">
      <alignment vertical="center"/>
    </xf>
    <xf numFmtId="3" fontId="24"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31" fillId="0" borderId="0" xfId="0" applyFont="1" applyAlignment="1">
      <alignment vertical="center"/>
    </xf>
    <xf numFmtId="3"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0" applyNumberFormat="1" applyFont="1" applyAlignment="1">
      <alignment horizontal="center" vertical="center"/>
    </xf>
    <xf numFmtId="3" fontId="8" fillId="0" borderId="0" xfId="0" applyNumberFormat="1" applyFont="1" applyAlignment="1">
      <alignment horizontal="right" vertical="center"/>
    </xf>
    <xf numFmtId="3" fontId="8" fillId="0" borderId="0" xfId="0" applyNumberFormat="1" applyFont="1" applyAlignment="1">
      <alignment vertical="center"/>
    </xf>
    <xf numFmtId="49" fontId="8" fillId="0" borderId="0" xfId="0" applyNumberFormat="1" applyFont="1" applyAlignment="1">
      <alignment vertical="center"/>
    </xf>
    <xf numFmtId="165" fontId="8" fillId="0" borderId="0" xfId="0" applyNumberFormat="1" applyFont="1" applyAlignment="1">
      <alignment horizontal="center" vertical="center"/>
    </xf>
    <xf numFmtId="1" fontId="8" fillId="0" borderId="0" xfId="0" applyNumberFormat="1" applyFont="1" applyAlignment="1">
      <alignment vertical="center"/>
    </xf>
    <xf numFmtId="165" fontId="8" fillId="0" borderId="0" xfId="0" applyNumberFormat="1" applyFont="1" applyAlignment="1">
      <alignment vertical="center"/>
    </xf>
    <xf numFmtId="9" fontId="8" fillId="0" borderId="0" xfId="0" applyNumberFormat="1" applyFont="1" applyAlignment="1">
      <alignment vertical="center"/>
    </xf>
    <xf numFmtId="3" fontId="7" fillId="0" borderId="0" xfId="0" applyNumberFormat="1" applyFont="1" applyAlignment="1">
      <alignment vertical="center"/>
    </xf>
    <xf numFmtId="4" fontId="9" fillId="0" borderId="1" xfId="0" applyNumberFormat="1" applyFont="1" applyBorder="1" applyAlignment="1">
      <alignment horizontal="center" vertical="center"/>
    </xf>
    <xf numFmtId="3" fontId="7" fillId="0" borderId="0" xfId="2" applyNumberFormat="1" applyFont="1" applyAlignment="1">
      <alignment horizontal="center" vertical="center"/>
    </xf>
    <xf numFmtId="3" fontId="16" fillId="0" borderId="0" xfId="2" applyNumberFormat="1" applyFont="1" applyAlignment="1">
      <alignment horizontal="center" vertical="center"/>
    </xf>
    <xf numFmtId="3" fontId="16" fillId="0" borderId="0" xfId="2" applyNumberFormat="1" applyFont="1" applyAlignment="1">
      <alignment horizontal="center" vertical="center" wrapText="1"/>
    </xf>
    <xf numFmtId="3" fontId="3" fillId="3" borderId="1" xfId="2" applyNumberFormat="1" applyFont="1" applyFill="1" applyBorder="1" applyAlignment="1">
      <alignment horizontal="center" vertical="center"/>
    </xf>
    <xf numFmtId="49" fontId="3"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3" fontId="9" fillId="0" borderId="0" xfId="0" applyNumberFormat="1" applyFont="1" applyAlignment="1">
      <alignment horizontal="center" vertical="center" wrapText="1"/>
    </xf>
    <xf numFmtId="165" fontId="3" fillId="3" borderId="1" xfId="2" applyNumberFormat="1" applyFont="1" applyFill="1" applyBorder="1" applyAlignment="1">
      <alignment horizontal="center" vertical="center" wrapText="1"/>
    </xf>
    <xf numFmtId="2" fontId="3" fillId="3" borderId="1" xfId="2" applyNumberFormat="1" applyFont="1" applyFill="1" applyBorder="1" applyAlignment="1">
      <alignment horizontal="center" vertical="center" wrapText="1"/>
    </xf>
    <xf numFmtId="0" fontId="9" fillId="0" borderId="0" xfId="2" applyFont="1" applyAlignment="1">
      <alignment horizontal="center" vertical="center" wrapText="1"/>
    </xf>
    <xf numFmtId="0" fontId="9" fillId="0" borderId="0" xfId="2" applyFont="1" applyAlignment="1">
      <alignment vertical="center" wrapText="1"/>
    </xf>
    <xf numFmtId="0" fontId="9" fillId="0" borderId="1" xfId="2" applyFont="1" applyBorder="1" applyAlignment="1">
      <alignment vertical="center" wrapText="1"/>
    </xf>
    <xf numFmtId="1" fontId="9" fillId="0" borderId="1" xfId="2" applyNumberFormat="1" applyFont="1" applyBorder="1" applyAlignment="1">
      <alignment vertical="center" wrapText="1"/>
    </xf>
    <xf numFmtId="1" fontId="9" fillId="0" borderId="0" xfId="2" applyNumberFormat="1" applyFont="1" applyAlignment="1">
      <alignment vertical="center" wrapText="1"/>
    </xf>
    <xf numFmtId="165" fontId="3" fillId="3" borderId="4" xfId="2" applyNumberFormat="1" applyFont="1" applyFill="1" applyBorder="1" applyAlignment="1">
      <alignment horizontal="center" vertical="center" wrapText="1"/>
    </xf>
    <xf numFmtId="49" fontId="9" fillId="0" borderId="0" xfId="0" applyNumberFormat="1" applyFont="1" applyAlignment="1">
      <alignment horizontal="left" vertical="center" wrapText="1"/>
    </xf>
    <xf numFmtId="49" fontId="9" fillId="0" borderId="0" xfId="0" applyNumberFormat="1" applyFont="1" applyAlignment="1">
      <alignment vertical="center" wrapText="1"/>
    </xf>
    <xf numFmtId="0" fontId="9" fillId="0" borderId="0" xfId="0" applyFont="1" applyAlignment="1">
      <alignment vertical="center" wrapText="1"/>
    </xf>
    <xf numFmtId="0" fontId="3" fillId="0" borderId="0" xfId="0" applyFont="1" applyAlignment="1">
      <alignment wrapText="1"/>
    </xf>
    <xf numFmtId="49" fontId="3" fillId="0" borderId="0" xfId="0" applyNumberFormat="1" applyFont="1" applyAlignment="1">
      <alignment wrapText="1"/>
    </xf>
    <xf numFmtId="0" fontId="17" fillId="0" borderId="0" xfId="0" applyFont="1" applyAlignment="1">
      <alignment wrapText="1"/>
    </xf>
    <xf numFmtId="0" fontId="2" fillId="3" borderId="2" xfId="2" applyFont="1" applyFill="1" applyBorder="1" applyAlignment="1">
      <alignment vertical="top" wrapText="1"/>
    </xf>
    <xf numFmtId="0" fontId="2" fillId="0" borderId="1" xfId="2" applyFont="1" applyBorder="1" applyAlignment="1">
      <alignment horizontal="left" vertical="center" wrapText="1"/>
    </xf>
    <xf numFmtId="0" fontId="2" fillId="0" borderId="1" xfId="2" applyFont="1" applyBorder="1" applyAlignment="1">
      <alignment vertical="top" wrapText="1"/>
    </xf>
    <xf numFmtId="0" fontId="5" fillId="0" borderId="1" xfId="2" applyFont="1" applyBorder="1" applyAlignment="1">
      <alignment horizontal="center" vertical="center"/>
    </xf>
    <xf numFmtId="165" fontId="3" fillId="0" borderId="4" xfId="2" applyNumberFormat="1" applyFont="1" applyBorder="1" applyAlignment="1">
      <alignment horizontal="center" vertical="center" wrapText="1"/>
    </xf>
    <xf numFmtId="1" fontId="2" fillId="0" borderId="0" xfId="0" applyNumberFormat="1" applyFont="1" applyAlignment="1">
      <alignment horizontal="center" vertical="center"/>
    </xf>
    <xf numFmtId="2" fontId="2" fillId="0" borderId="1" xfId="0" applyNumberFormat="1" applyFont="1" applyBorder="1" applyAlignment="1">
      <alignment horizontal="center" vertical="center" wrapText="1"/>
    </xf>
    <xf numFmtId="1" fontId="5" fillId="0" borderId="1" xfId="2" applyNumberFormat="1" applyFont="1" applyBorder="1" applyAlignment="1">
      <alignment horizontal="center" vertical="center"/>
    </xf>
    <xf numFmtId="0" fontId="3" fillId="0" borderId="1" xfId="2" applyFont="1" applyBorder="1" applyAlignment="1">
      <alignment horizontal="center" vertical="center"/>
    </xf>
    <xf numFmtId="0" fontId="8" fillId="0" borderId="0" xfId="0" applyFont="1"/>
    <xf numFmtId="3" fontId="7" fillId="0" borderId="1" xfId="0" applyNumberFormat="1" applyFont="1" applyBorder="1" applyAlignment="1">
      <alignment horizontal="center" vertical="center"/>
    </xf>
    <xf numFmtId="0" fontId="2" fillId="0" borderId="1" xfId="0" applyFont="1" applyBorder="1"/>
    <xf numFmtId="165" fontId="7" fillId="0" borderId="1" xfId="0" applyNumberFormat="1" applyFont="1" applyBorder="1"/>
    <xf numFmtId="0" fontId="22" fillId="0" borderId="1" xfId="0" applyFont="1" applyBorder="1"/>
    <xf numFmtId="3" fontId="2" fillId="0" borderId="1" xfId="0" applyNumberFormat="1" applyFont="1" applyBorder="1"/>
    <xf numFmtId="1" fontId="7" fillId="0" borderId="1" xfId="0" applyNumberFormat="1" applyFont="1" applyBorder="1"/>
    <xf numFmtId="0" fontId="9" fillId="0" borderId="0" xfId="6" applyFont="1" applyAlignment="1">
      <alignment horizontal="left"/>
    </xf>
    <xf numFmtId="0" fontId="3" fillId="0" borderId="0" xfId="2" applyFont="1"/>
    <xf numFmtId="0" fontId="3" fillId="0" borderId="0" xfId="7" applyFont="1"/>
    <xf numFmtId="0" fontId="9" fillId="0" borderId="11" xfId="2" applyFont="1" applyBorder="1" applyAlignment="1">
      <alignment horizontal="center" vertical="center" wrapText="1"/>
    </xf>
    <xf numFmtId="0" fontId="9" fillId="0" borderId="1" xfId="2" applyFont="1" applyBorder="1" applyAlignment="1">
      <alignment horizontal="center" vertical="center" wrapText="1" shrinkToFit="1"/>
    </xf>
    <xf numFmtId="0" fontId="9" fillId="0" borderId="1" xfId="2" applyFont="1" applyBorder="1" applyAlignment="1">
      <alignment horizontal="center"/>
    </xf>
    <xf numFmtId="0" fontId="9" fillId="0" borderId="1" xfId="6" applyFont="1" applyBorder="1" applyAlignment="1">
      <alignment horizontal="center"/>
    </xf>
    <xf numFmtId="0" fontId="3" fillId="0" borderId="0" xfId="7" applyFont="1" applyAlignment="1">
      <alignment horizontal="center"/>
    </xf>
    <xf numFmtId="0" fontId="3" fillId="0" borderId="1" xfId="6" applyFont="1" applyBorder="1" applyAlignment="1">
      <alignment horizontal="center" vertical="top" wrapText="1"/>
    </xf>
    <xf numFmtId="0" fontId="32" fillId="0" borderId="1" xfId="6" applyFont="1" applyBorder="1" applyAlignment="1">
      <alignment horizontal="center" vertical="top" wrapText="1"/>
    </xf>
    <xf numFmtId="0" fontId="8" fillId="0" borderId="1" xfId="6" applyFont="1" applyBorder="1" applyAlignment="1">
      <alignment horizontal="center" vertical="center"/>
    </xf>
    <xf numFmtId="0" fontId="8" fillId="0" borderId="1" xfId="6" applyFont="1" applyBorder="1" applyAlignment="1">
      <alignment horizontal="left" vertical="top"/>
    </xf>
    <xf numFmtId="0" fontId="9" fillId="0" borderId="1" xfId="7" applyFont="1" applyBorder="1" applyAlignment="1">
      <alignment horizontal="center" vertical="top"/>
    </xf>
    <xf numFmtId="0" fontId="8" fillId="0" borderId="1" xfId="6" applyFont="1" applyBorder="1" applyAlignment="1">
      <alignment horizontal="center" vertical="top"/>
    </xf>
    <xf numFmtId="0" fontId="8" fillId="0" borderId="0" xfId="7" applyFont="1"/>
    <xf numFmtId="0" fontId="3" fillId="0" borderId="0" xfId="7" applyFont="1" applyAlignment="1">
      <alignment horizontal="left"/>
    </xf>
    <xf numFmtId="0" fontId="10" fillId="0" borderId="0" xfId="2"/>
    <xf numFmtId="0" fontId="33" fillId="3" borderId="0" xfId="2" applyFont="1" applyFill="1"/>
    <xf numFmtId="0" fontId="34"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1" xfId="1" applyBorder="1" applyAlignment="1">
      <alignment horizontal="center" vertical="center" wrapText="1"/>
    </xf>
    <xf numFmtId="0" fontId="3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2" fillId="0" borderId="0" xfId="0" applyFont="1" applyAlignment="1">
      <alignment horizontal="center"/>
    </xf>
    <xf numFmtId="1" fontId="8" fillId="3" borderId="1" xfId="2" applyNumberFormat="1" applyFont="1" applyFill="1" applyBorder="1" applyAlignment="1">
      <alignment horizontal="center" vertical="center"/>
    </xf>
    <xf numFmtId="4" fontId="35" fillId="0" borderId="1" xfId="0" applyNumberFormat="1" applyFont="1" applyBorder="1" applyAlignment="1">
      <alignment vertical="top" wrapText="1"/>
    </xf>
    <xf numFmtId="0" fontId="2" fillId="3" borderId="1" xfId="0" applyFont="1" applyFill="1" applyBorder="1" applyAlignment="1">
      <alignment horizontal="center" vertical="top" wrapText="1"/>
    </xf>
    <xf numFmtId="1" fontId="2" fillId="3" borderId="1" xfId="0" applyNumberFormat="1" applyFont="1" applyFill="1" applyBorder="1" applyAlignment="1">
      <alignment horizontal="center" vertical="top" wrapText="1"/>
    </xf>
    <xf numFmtId="2" fontId="7" fillId="3" borderId="1" xfId="0" applyNumberFormat="1" applyFont="1" applyFill="1" applyBorder="1" applyAlignment="1">
      <alignment horizontal="center" vertical="top" wrapText="1"/>
    </xf>
    <xf numFmtId="1" fontId="7" fillId="3" borderId="1" xfId="0" applyNumberFormat="1" applyFont="1" applyFill="1" applyBorder="1" applyAlignment="1">
      <alignment horizontal="center" vertical="top" wrapText="1"/>
    </xf>
    <xf numFmtId="1" fontId="2" fillId="3" borderId="0" xfId="0" applyNumberFormat="1" applyFont="1" applyFill="1" applyAlignment="1">
      <alignment horizontal="center" vertical="center"/>
    </xf>
    <xf numFmtId="0" fontId="11" fillId="3" borderId="0" xfId="0" applyFont="1" applyFill="1"/>
    <xf numFmtId="0" fontId="8" fillId="3" borderId="0" xfId="2" applyFont="1" applyFill="1" applyAlignment="1">
      <alignment vertical="center"/>
    </xf>
    <xf numFmtId="0" fontId="4" fillId="3" borderId="0" xfId="0" applyFont="1" applyFill="1"/>
    <xf numFmtId="165" fontId="8" fillId="3" borderId="0" xfId="2" applyNumberFormat="1" applyFont="1" applyFill="1" applyAlignment="1">
      <alignment horizontal="center" vertical="center"/>
    </xf>
    <xf numFmtId="3" fontId="8" fillId="3" borderId="0" xfId="2" applyNumberFormat="1" applyFont="1" applyFill="1" applyAlignment="1">
      <alignment horizontal="center" vertical="center"/>
    </xf>
    <xf numFmtId="165" fontId="8" fillId="3" borderId="0" xfId="2" applyNumberFormat="1" applyFont="1" applyFill="1" applyAlignment="1">
      <alignment vertical="center"/>
    </xf>
    <xf numFmtId="0" fontId="8" fillId="3" borderId="0" xfId="0" applyFont="1" applyFill="1"/>
    <xf numFmtId="0" fontId="7" fillId="3" borderId="0" xfId="0" applyFont="1" applyFill="1"/>
    <xf numFmtId="3" fontId="11" fillId="3" borderId="0" xfId="0" applyNumberFormat="1" applyFont="1" applyFill="1"/>
    <xf numFmtId="3" fontId="3" fillId="3" borderId="0" xfId="0" applyNumberFormat="1" applyFont="1" applyFill="1"/>
    <xf numFmtId="0" fontId="8" fillId="3" borderId="1" xfId="2" applyFont="1" applyFill="1" applyBorder="1" applyAlignment="1">
      <alignment horizontal="center" vertical="center" wrapText="1"/>
    </xf>
    <xf numFmtId="1" fontId="8" fillId="3" borderId="1" xfId="2" applyNumberFormat="1" applyFont="1" applyFill="1" applyBorder="1" applyAlignment="1">
      <alignment vertical="center" wrapText="1"/>
    </xf>
    <xf numFmtId="0" fontId="18" fillId="3" borderId="0" xfId="2" applyFont="1" applyFill="1" applyAlignment="1">
      <alignment vertical="center"/>
    </xf>
    <xf numFmtId="3" fontId="8" fillId="3" borderId="0" xfId="0" applyNumberFormat="1" applyFont="1" applyFill="1"/>
    <xf numFmtId="3" fontId="7" fillId="3" borderId="0" xfId="0" applyNumberFormat="1" applyFont="1" applyFill="1"/>
    <xf numFmtId="0" fontId="18" fillId="3" borderId="0" xfId="2" applyFont="1" applyFill="1" applyAlignment="1">
      <alignment horizontal="center" vertical="center"/>
    </xf>
    <xf numFmtId="3" fontId="4" fillId="3" borderId="0" xfId="0" applyNumberFormat="1" applyFont="1" applyFill="1"/>
    <xf numFmtId="165" fontId="18" fillId="3" borderId="0" xfId="2" applyNumberFormat="1" applyFont="1" applyFill="1" applyAlignment="1">
      <alignment horizontal="center" vertical="center" wrapText="1"/>
    </xf>
    <xf numFmtId="165" fontId="8" fillId="3" borderId="1" xfId="2" applyNumberFormat="1" applyFont="1" applyFill="1" applyBorder="1" applyAlignment="1">
      <alignment vertical="center" wrapText="1"/>
    </xf>
    <xf numFmtId="1" fontId="8" fillId="3" borderId="0" xfId="0" applyNumberFormat="1" applyFont="1" applyFill="1" applyAlignment="1">
      <alignment horizontal="center"/>
    </xf>
    <xf numFmtId="0" fontId="4" fillId="3" borderId="0" xfId="0" applyFont="1" applyFill="1" applyAlignment="1">
      <alignment horizontal="left"/>
    </xf>
    <xf numFmtId="0" fontId="8" fillId="3" borderId="0" xfId="2" applyFont="1" applyFill="1" applyAlignment="1">
      <alignment horizontal="left" vertical="center"/>
    </xf>
    <xf numFmtId="1" fontId="8" fillId="3" borderId="0" xfId="2" applyNumberFormat="1" applyFont="1" applyFill="1" applyAlignment="1">
      <alignment vertical="center"/>
    </xf>
    <xf numFmtId="1" fontId="8" fillId="3" borderId="0" xfId="2" applyNumberFormat="1" applyFont="1" applyFill="1" applyAlignment="1">
      <alignment vertical="center" wrapText="1"/>
    </xf>
    <xf numFmtId="0" fontId="4" fillId="3" borderId="0" xfId="0" applyFont="1" applyFill="1" applyAlignment="1">
      <alignment horizontal="center" vertical="center"/>
    </xf>
    <xf numFmtId="49" fontId="4" fillId="3" borderId="0" xfId="0" applyNumberFormat="1" applyFont="1" applyFill="1" applyAlignment="1">
      <alignment horizontal="center" vertical="center" wrapText="1"/>
    </xf>
    <xf numFmtId="3" fontId="4" fillId="3" borderId="0" xfId="0" applyNumberFormat="1" applyFont="1" applyFill="1" applyAlignment="1">
      <alignment horizontal="center" vertical="center"/>
    </xf>
    <xf numFmtId="3" fontId="4" fillId="3" borderId="3" xfId="0" applyNumberFormat="1" applyFont="1" applyFill="1" applyBorder="1" applyAlignment="1">
      <alignment horizontal="center" vertical="center"/>
    </xf>
    <xf numFmtId="9" fontId="4" fillId="3" borderId="0" xfId="0" applyNumberFormat="1" applyFont="1" applyFill="1" applyAlignment="1">
      <alignment horizontal="center" vertical="center"/>
    </xf>
    <xf numFmtId="0" fontId="11" fillId="3" borderId="0" xfId="0" applyFont="1" applyFill="1" applyAlignment="1">
      <alignment vertical="center"/>
    </xf>
    <xf numFmtId="3" fontId="8"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vertical="center"/>
    </xf>
    <xf numFmtId="3" fontId="8" fillId="3" borderId="0" xfId="0" applyNumberFormat="1" applyFont="1" applyFill="1" applyAlignment="1">
      <alignment vertical="center"/>
    </xf>
    <xf numFmtId="165" fontId="8" fillId="3" borderId="0" xfId="0" applyNumberFormat="1" applyFont="1" applyFill="1" applyAlignment="1">
      <alignment horizontal="center" vertical="center"/>
    </xf>
    <xf numFmtId="3" fontId="8" fillId="3" borderId="0" xfId="0" applyNumberFormat="1" applyFont="1" applyFill="1" applyAlignment="1">
      <alignment horizontal="center" vertical="center"/>
    </xf>
    <xf numFmtId="9" fontId="8" fillId="3" borderId="0" xfId="0" applyNumberFormat="1" applyFont="1" applyFill="1" applyAlignment="1">
      <alignment horizontal="center" vertical="center"/>
    </xf>
    <xf numFmtId="1" fontId="8" fillId="3" borderId="0" xfId="0" applyNumberFormat="1" applyFont="1" applyFill="1" applyAlignment="1">
      <alignment vertical="center"/>
    </xf>
    <xf numFmtId="9" fontId="8" fillId="3" borderId="0" xfId="0" applyNumberFormat="1" applyFont="1" applyFill="1" applyAlignment="1">
      <alignment vertical="center"/>
    </xf>
    <xf numFmtId="0" fontId="3" fillId="3" borderId="0" xfId="0" applyFont="1" applyFill="1"/>
    <xf numFmtId="0" fontId="3" fillId="3" borderId="0" xfId="0" applyFont="1" applyFill="1" applyAlignment="1">
      <alignment wrapText="1"/>
    </xf>
    <xf numFmtId="9" fontId="3" fillId="3" borderId="0" xfId="0" applyNumberFormat="1" applyFont="1" applyFill="1"/>
    <xf numFmtId="0" fontId="3" fillId="3" borderId="0" xfId="0" applyFont="1" applyFill="1" applyAlignment="1">
      <alignment horizontal="center"/>
    </xf>
    <xf numFmtId="0" fontId="11" fillId="3" borderId="0" xfId="0" applyFont="1" applyFill="1" applyAlignment="1">
      <alignment horizontal="center"/>
    </xf>
    <xf numFmtId="49" fontId="3" fillId="3" borderId="0" xfId="0" applyNumberFormat="1" applyFont="1" applyFill="1" applyAlignment="1">
      <alignment wrapText="1"/>
    </xf>
    <xf numFmtId="9" fontId="11" fillId="3" borderId="0" xfId="0" applyNumberFormat="1" applyFont="1" applyFill="1"/>
    <xf numFmtId="0" fontId="11" fillId="3" borderId="0" xfId="0" applyFont="1" applyFill="1" applyAlignment="1">
      <alignment horizontal="center" vertical="center"/>
    </xf>
    <xf numFmtId="0" fontId="17" fillId="3" borderId="0" xfId="0" applyFont="1" applyFill="1" applyAlignment="1">
      <alignment wrapText="1"/>
    </xf>
    <xf numFmtId="0" fontId="10" fillId="3" borderId="0" xfId="0" applyFont="1" applyFill="1"/>
    <xf numFmtId="0" fontId="8" fillId="3" borderId="0" xfId="2" applyFont="1" applyFill="1" applyAlignment="1">
      <alignment horizontal="center" vertical="center"/>
    </xf>
    <xf numFmtId="1" fontId="8" fillId="3" borderId="0" xfId="2" applyNumberFormat="1" applyFont="1" applyFill="1" applyAlignment="1">
      <alignment horizontal="center" vertical="center"/>
    </xf>
    <xf numFmtId="0" fontId="8" fillId="3" borderId="0" xfId="2" applyFont="1" applyFill="1" applyAlignment="1">
      <alignment horizontal="center" vertical="center" wrapText="1"/>
    </xf>
    <xf numFmtId="0" fontId="8" fillId="3" borderId="2" xfId="2" applyFont="1" applyFill="1" applyBorder="1" applyAlignment="1">
      <alignment horizontal="center" vertical="center"/>
    </xf>
    <xf numFmtId="0" fontId="8" fillId="3" borderId="1" xfId="2" applyFont="1" applyFill="1" applyBorder="1" applyAlignment="1">
      <alignment horizontal="center" vertical="center"/>
    </xf>
    <xf numFmtId="9" fontId="8" fillId="3" borderId="1" xfId="0" applyNumberFormat="1" applyFont="1" applyFill="1" applyBorder="1" applyAlignment="1">
      <alignment horizontal="center" vertical="center"/>
    </xf>
    <xf numFmtId="1" fontId="8" fillId="3" borderId="1" xfId="2" applyNumberFormat="1" applyFont="1" applyFill="1" applyBorder="1" applyAlignment="1">
      <alignment horizontal="center" vertical="center" shrinkToFit="1"/>
    </xf>
    <xf numFmtId="0" fontId="8" fillId="3" borderId="1" xfId="2" applyFont="1" applyFill="1" applyBorder="1" applyAlignment="1">
      <alignment horizontal="center" vertical="center" shrinkToFit="1"/>
    </xf>
    <xf numFmtId="3" fontId="10" fillId="3" borderId="0" xfId="0" applyNumberFormat="1" applyFont="1" applyFill="1"/>
    <xf numFmtId="0" fontId="10" fillId="3" borderId="0" xfId="0" applyFont="1" applyFill="1" applyAlignment="1">
      <alignment horizontal="center" vertical="center"/>
    </xf>
    <xf numFmtId="9" fontId="10" fillId="3" borderId="0" xfId="0" applyNumberFormat="1" applyFont="1" applyFill="1"/>
    <xf numFmtId="0" fontId="8" fillId="3" borderId="0" xfId="0" applyFont="1" applyFill="1" applyAlignment="1">
      <alignment vertical="top" wrapText="1"/>
    </xf>
    <xf numFmtId="0" fontId="36" fillId="0" borderId="0" xfId="0" applyFont="1" applyAlignment="1">
      <alignment vertical="center"/>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3" fillId="0" borderId="1" xfId="6" applyFont="1" applyBorder="1" applyAlignment="1">
      <alignment horizontal="center" vertical="center"/>
    </xf>
    <xf numFmtId="0" fontId="8" fillId="3" borderId="3" xfId="0" applyFont="1" applyFill="1" applyBorder="1" applyAlignment="1">
      <alignment vertical="center"/>
    </xf>
    <xf numFmtId="0" fontId="8" fillId="3" borderId="5" xfId="0" applyFont="1" applyFill="1" applyBorder="1" applyAlignment="1">
      <alignment vertical="center"/>
    </xf>
    <xf numFmtId="0" fontId="19" fillId="2" borderId="0" xfId="0" applyFont="1" applyFill="1"/>
    <xf numFmtId="49" fontId="8" fillId="3" borderId="0" xfId="0" applyNumberFormat="1" applyFont="1" applyFill="1" applyAlignment="1">
      <alignment vertical="center" wrapText="1"/>
    </xf>
    <xf numFmtId="0" fontId="19" fillId="2" borderId="0" xfId="0" applyFont="1" applyFill="1" applyAlignment="1">
      <alignment horizontal="right" vertical="center"/>
    </xf>
    <xf numFmtId="49" fontId="4" fillId="2" borderId="0" xfId="0" applyNumberFormat="1" applyFont="1" applyFill="1" applyAlignment="1" applyProtection="1">
      <alignment horizontal="left" vertical="center"/>
      <protection hidden="1"/>
    </xf>
    <xf numFmtId="0" fontId="19" fillId="2" borderId="0" xfId="0" applyFont="1" applyFill="1" applyAlignment="1">
      <alignment horizontal="left" vertical="center" wrapText="1"/>
    </xf>
    <xf numFmtId="0" fontId="8" fillId="3" borderId="3" xfId="0" applyFont="1" applyFill="1" applyBorder="1" applyAlignment="1">
      <alignment vertical="center" wrapText="1"/>
    </xf>
    <xf numFmtId="0" fontId="8" fillId="3" borderId="5" xfId="0" applyFont="1" applyFill="1" applyBorder="1" applyAlignment="1">
      <alignment vertical="center" wrapText="1"/>
    </xf>
    <xf numFmtId="0" fontId="4" fillId="3" borderId="5" xfId="0" applyFont="1" applyFill="1" applyBorder="1" applyAlignment="1">
      <alignment wrapText="1"/>
    </xf>
    <xf numFmtId="0" fontId="4" fillId="3" borderId="3" xfId="0" applyFont="1" applyFill="1" applyBorder="1" applyAlignment="1">
      <alignment wrapText="1"/>
    </xf>
    <xf numFmtId="0" fontId="9" fillId="0" borderId="0" xfId="0" applyFont="1" applyAlignment="1">
      <alignment vertical="center"/>
    </xf>
    <xf numFmtId="0" fontId="9" fillId="0" borderId="0" xfId="0" applyFont="1" applyAlignment="1">
      <alignment horizontal="center" vertical="center"/>
    </xf>
    <xf numFmtId="0" fontId="38" fillId="0" borderId="1" xfId="0" applyFont="1" applyBorder="1" applyAlignment="1">
      <alignment horizontal="left" vertical="center" wrapText="1"/>
    </xf>
    <xf numFmtId="4" fontId="38"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4" fontId="38" fillId="0" borderId="1" xfId="0" applyNumberFormat="1" applyFont="1" applyBorder="1" applyAlignment="1">
      <alignment vertical="top" wrapText="1"/>
    </xf>
    <xf numFmtId="0" fontId="38" fillId="0" borderId="1" xfId="0" applyFont="1" applyBorder="1" applyAlignment="1">
      <alignment horizontal="center" vertical="center" wrapText="1"/>
    </xf>
    <xf numFmtId="4" fontId="38" fillId="0" borderId="1" xfId="0" applyNumberFormat="1" applyFont="1" applyBorder="1" applyAlignment="1">
      <alignment horizontal="center" vertical="center" wrapText="1"/>
    </xf>
    <xf numFmtId="0" fontId="38" fillId="0" borderId="1" xfId="0" applyFont="1" applyBorder="1" applyAlignment="1">
      <alignment horizontal="left" vertical="center"/>
    </xf>
    <xf numFmtId="2"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3" fontId="11" fillId="3" borderId="0" xfId="0" applyNumberFormat="1" applyFont="1" applyFill="1" applyAlignment="1">
      <alignment horizontal="center" vertical="center"/>
    </xf>
    <xf numFmtId="3" fontId="10" fillId="3" borderId="0" xfId="0" applyNumberFormat="1" applyFont="1" applyFill="1" applyAlignment="1">
      <alignment horizontal="center" vertical="center"/>
    </xf>
    <xf numFmtId="0" fontId="8" fillId="0" borderId="1" xfId="2" applyFont="1" applyBorder="1" applyAlignment="1">
      <alignment horizontal="center" vertical="center" shrinkToFit="1"/>
    </xf>
    <xf numFmtId="1" fontId="8" fillId="0" borderId="1" xfId="2" applyNumberFormat="1" applyFont="1" applyBorder="1" applyAlignment="1">
      <alignment horizontal="center" vertical="center" shrinkToFit="1"/>
    </xf>
    <xf numFmtId="165" fontId="18" fillId="0" borderId="0" xfId="2" applyNumberFormat="1" applyFont="1" applyAlignment="1">
      <alignment horizontal="center" vertical="center" wrapText="1"/>
    </xf>
    <xf numFmtId="0" fontId="8" fillId="0" borderId="0" xfId="2" applyFont="1" applyAlignment="1">
      <alignment horizontal="center" vertical="center"/>
    </xf>
    <xf numFmtId="3" fontId="4" fillId="0" borderId="0" xfId="0" applyNumberFormat="1" applyFont="1" applyAlignment="1">
      <alignment horizontal="center" vertical="center"/>
    </xf>
    <xf numFmtId="3" fontId="4" fillId="0" borderId="3"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165" fontId="8" fillId="0" borderId="0" xfId="2" applyNumberFormat="1" applyFont="1" applyAlignment="1">
      <alignment horizontal="center" vertical="center"/>
    </xf>
    <xf numFmtId="1" fontId="8" fillId="0" borderId="0" xfId="2" applyNumberFormat="1" applyFont="1" applyAlignment="1">
      <alignment horizontal="center" vertical="center"/>
    </xf>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0" fontId="8" fillId="3" borderId="5" xfId="0" applyFont="1" applyFill="1" applyBorder="1"/>
    <xf numFmtId="0" fontId="8" fillId="3" borderId="3" xfId="0" applyFont="1" applyFill="1" applyBorder="1"/>
    <xf numFmtId="4" fontId="39" fillId="0" borderId="1" xfId="0" applyNumberFormat="1" applyFont="1" applyBorder="1" applyAlignment="1">
      <alignment vertical="top" wrapText="1"/>
    </xf>
    <xf numFmtId="4" fontId="39" fillId="3" borderId="1" xfId="0" applyNumberFormat="1" applyFont="1" applyFill="1" applyBorder="1" applyAlignment="1">
      <alignment vertical="top" wrapText="1"/>
    </xf>
    <xf numFmtId="4" fontId="39" fillId="0" borderId="1" xfId="0" applyNumberFormat="1" applyFont="1" applyBorder="1" applyAlignment="1">
      <alignment horizontal="right" vertical="top" wrapText="1"/>
    </xf>
    <xf numFmtId="0" fontId="39" fillId="0" borderId="1" xfId="0" applyFont="1" applyBorder="1" applyAlignment="1">
      <alignment horizontal="right" vertical="center"/>
    </xf>
    <xf numFmtId="4" fontId="39" fillId="0" borderId="1" xfId="0" applyNumberFormat="1" applyFont="1" applyBorder="1" applyAlignment="1">
      <alignment horizontal="left" vertical="top" wrapText="1"/>
    </xf>
    <xf numFmtId="4" fontId="39" fillId="0" borderId="1" xfId="0" applyNumberFormat="1" applyFont="1" applyBorder="1" applyAlignment="1">
      <alignment horizontal="center" vertical="top" wrapText="1"/>
    </xf>
    <xf numFmtId="49" fontId="2" fillId="0" borderId="0" xfId="0" applyNumberFormat="1" applyFont="1" applyAlignment="1">
      <alignment horizontal="center"/>
    </xf>
    <xf numFmtId="3" fontId="40" fillId="0" borderId="1" xfId="0" applyNumberFormat="1" applyFont="1" applyBorder="1" applyAlignment="1">
      <alignment horizontal="center" vertical="center" wrapText="1"/>
    </xf>
    <xf numFmtId="3" fontId="39" fillId="0" borderId="1" xfId="0" applyNumberFormat="1" applyFont="1" applyBorder="1" applyAlignment="1">
      <alignment horizontal="center" vertical="center" wrapText="1"/>
    </xf>
    <xf numFmtId="0" fontId="8" fillId="0" borderId="0" xfId="2" applyFont="1" applyAlignment="1">
      <alignment vertical="center"/>
    </xf>
    <xf numFmtId="9" fontId="4" fillId="0" borderId="0" xfId="0" applyNumberFormat="1" applyFont="1" applyAlignment="1">
      <alignment horizontal="center" vertical="center"/>
    </xf>
    <xf numFmtId="9"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 fontId="10" fillId="0" borderId="0" xfId="0" applyNumberFormat="1" applyFont="1"/>
    <xf numFmtId="9" fontId="10" fillId="0" borderId="0" xfId="0" applyNumberFormat="1" applyFont="1"/>
    <xf numFmtId="0" fontId="2" fillId="0" borderId="1" xfId="0" applyFont="1" applyBorder="1" applyAlignment="1">
      <alignment horizontal="center" vertical="top" wrapText="1"/>
    </xf>
    <xf numFmtId="1" fontId="2" fillId="0" borderId="1" xfId="0" applyNumberFormat="1" applyFont="1" applyBorder="1" applyAlignment="1">
      <alignment horizontal="center" vertical="top" wrapText="1"/>
    </xf>
    <xf numFmtId="0" fontId="39" fillId="0" borderId="1" xfId="0" applyFont="1" applyBorder="1" applyAlignment="1">
      <alignment horizontal="center" vertical="center"/>
    </xf>
    <xf numFmtId="165" fontId="8" fillId="0" borderId="1" xfId="6" applyNumberFormat="1" applyFont="1" applyBorder="1" applyAlignment="1">
      <alignment horizontal="center" vertical="top"/>
    </xf>
    <xf numFmtId="4" fontId="32" fillId="0" borderId="1" xfId="0" applyNumberFormat="1" applyFont="1" applyBorder="1" applyAlignment="1">
      <alignment vertical="top" wrapText="1"/>
    </xf>
    <xf numFmtId="0" fontId="7" fillId="3" borderId="0" xfId="0" applyFont="1" applyFill="1" applyAlignment="1">
      <alignment vertical="top" wrapText="1"/>
    </xf>
    <xf numFmtId="0" fontId="3" fillId="0" borderId="0" xfId="0" applyFont="1" applyAlignment="1">
      <alignment horizontal="center" vertical="top"/>
    </xf>
    <xf numFmtId="0" fontId="7" fillId="0" borderId="0" xfId="2" applyFont="1" applyAlignment="1">
      <alignment horizontal="center" wrapText="1"/>
    </xf>
    <xf numFmtId="0" fontId="9" fillId="0" borderId="1" xfId="6" applyFont="1" applyBorder="1" applyAlignment="1">
      <alignment horizontal="center" vertical="center" wrapText="1"/>
    </xf>
    <xf numFmtId="0" fontId="3" fillId="0" borderId="0" xfId="7" applyFont="1" applyAlignment="1">
      <alignment wrapText="1"/>
    </xf>
    <xf numFmtId="1" fontId="4" fillId="3" borderId="0" xfId="0" applyNumberFormat="1" applyFont="1" applyFill="1" applyAlignment="1">
      <alignment horizontal="center" vertical="center"/>
    </xf>
    <xf numFmtId="0" fontId="4" fillId="0" borderId="1" xfId="0" applyFont="1" applyBorder="1" applyAlignment="1">
      <alignment vertical="center" wrapText="1"/>
    </xf>
    <xf numFmtId="0" fontId="8" fillId="0" borderId="1" xfId="0" applyFont="1" applyBorder="1" applyAlignment="1">
      <alignment horizontal="center" vertical="center" wrapText="1"/>
    </xf>
    <xf numFmtId="1" fontId="8" fillId="0" borderId="1" xfId="2" applyNumberFormat="1" applyFont="1" applyBorder="1" applyAlignment="1">
      <alignment horizontal="center" vertical="center"/>
    </xf>
    <xf numFmtId="1"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165" fontId="8" fillId="0" borderId="1" xfId="2" applyNumberFormat="1" applyFont="1" applyBorder="1" applyAlignment="1">
      <alignment horizontal="center" vertical="center" shrinkToFit="1"/>
    </xf>
    <xf numFmtId="49" fontId="8" fillId="0" borderId="0" xfId="0" applyNumberFormat="1" applyFont="1" applyAlignment="1">
      <alignment horizontal="center" vertical="center"/>
    </xf>
    <xf numFmtId="49" fontId="4" fillId="0" borderId="0" xfId="0" applyNumberFormat="1" applyFont="1" applyAlignment="1">
      <alignment horizontal="center" vertical="center"/>
    </xf>
    <xf numFmtId="0" fontId="10" fillId="0" borderId="0" xfId="0" applyFont="1" applyAlignment="1">
      <alignment horizontal="center" vertical="center"/>
    </xf>
    <xf numFmtId="165" fontId="2" fillId="3" borderId="1" xfId="0" applyNumberFormat="1" applyFont="1" applyFill="1" applyBorder="1" applyAlignment="1">
      <alignment horizontal="center" vertical="top" wrapText="1"/>
    </xf>
    <xf numFmtId="0" fontId="8" fillId="0" borderId="1" xfId="2" applyFont="1" applyBorder="1" applyAlignment="1">
      <alignment horizontal="center" vertical="center"/>
    </xf>
    <xf numFmtId="165" fontId="8" fillId="0" borderId="1" xfId="0" applyNumberFormat="1" applyFont="1" applyBorder="1" applyAlignment="1">
      <alignment horizontal="center" vertical="center"/>
    </xf>
    <xf numFmtId="1" fontId="8" fillId="0" borderId="0" xfId="2" applyNumberFormat="1" applyFont="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4" fillId="0" borderId="5" xfId="0" applyFont="1" applyBorder="1"/>
    <xf numFmtId="0" fontId="4" fillId="0" borderId="3" xfId="0" applyFont="1" applyBorder="1"/>
    <xf numFmtId="4" fontId="35"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8" fillId="0" borderId="1" xfId="2" applyFont="1" applyBorder="1" applyAlignment="1">
      <alignment horizontal="center" vertical="center" wrapText="1"/>
    </xf>
    <xf numFmtId="0" fontId="13" fillId="0" borderId="0" xfId="0" applyFont="1"/>
    <xf numFmtId="1" fontId="8" fillId="0" borderId="0" xfId="0" applyNumberFormat="1" applyFont="1"/>
    <xf numFmtId="0" fontId="8" fillId="0" borderId="0" xfId="0" applyFont="1" applyAlignment="1">
      <alignment vertical="center" wrapText="1"/>
    </xf>
    <xf numFmtId="9" fontId="8" fillId="0" borderId="0" xfId="0" applyNumberFormat="1" applyFont="1" applyAlignment="1">
      <alignment vertical="center" wrapText="1"/>
    </xf>
    <xf numFmtId="0" fontId="4" fillId="0" borderId="0" xfId="0" applyFont="1" applyAlignment="1">
      <alignment horizontal="left"/>
    </xf>
    <xf numFmtId="0" fontId="32" fillId="0" borderId="1" xfId="0" applyFont="1" applyBorder="1" applyAlignment="1">
      <alignment horizontal="left" vertical="center" wrapText="1"/>
    </xf>
    <xf numFmtId="0" fontId="8"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11"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3" fontId="7" fillId="3" borderId="11" xfId="0" applyNumberFormat="1" applyFont="1" applyFill="1" applyBorder="1" applyAlignment="1">
      <alignment horizontal="center" vertical="center" wrapText="1"/>
    </xf>
    <xf numFmtId="3" fontId="7" fillId="3" borderId="10"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wrapText="1"/>
    </xf>
    <xf numFmtId="3" fontId="12" fillId="0" borderId="11"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 xfId="2" applyFont="1" applyBorder="1" applyAlignment="1">
      <alignment horizontal="center" vertical="center"/>
    </xf>
    <xf numFmtId="49" fontId="9"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7" fillId="0" borderId="0" xfId="2" applyFont="1" applyAlignment="1">
      <alignment horizontal="center" vertical="center" wrapText="1"/>
    </xf>
    <xf numFmtId="9" fontId="12" fillId="0" borderId="4" xfId="0" applyNumberFormat="1" applyFont="1" applyBorder="1" applyAlignment="1">
      <alignment horizontal="center" vertical="center" wrapText="1"/>
    </xf>
    <xf numFmtId="9" fontId="12" fillId="0" borderId="5"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 xfId="0" applyNumberFormat="1" applyFont="1" applyBorder="1" applyAlignment="1">
      <alignment horizontal="center" vertical="center"/>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3" borderId="0" xfId="0" applyFont="1" applyFill="1" applyAlignment="1">
      <alignment horizontal="center" vertical="top" wrapText="1"/>
    </xf>
    <xf numFmtId="0" fontId="9"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0" xfId="0" applyFont="1" applyAlignment="1">
      <alignment horizontal="left"/>
    </xf>
    <xf numFmtId="0" fontId="0" fillId="0" borderId="10" xfId="0" applyBorder="1" applyAlignment="1">
      <alignment horizontal="center" vertical="center" wrapText="1"/>
    </xf>
    <xf numFmtId="3" fontId="8" fillId="3" borderId="1" xfId="0" applyNumberFormat="1" applyFont="1" applyFill="1" applyBorder="1" applyAlignment="1">
      <alignment horizontal="center" vertical="center" textRotation="90" wrapText="1"/>
    </xf>
    <xf numFmtId="0" fontId="8" fillId="3" borderId="1" xfId="2" applyFont="1" applyFill="1" applyBorder="1" applyAlignment="1">
      <alignment horizontal="left" vertical="center"/>
    </xf>
    <xf numFmtId="9" fontId="8" fillId="3" borderId="11" xfId="0" applyNumberFormat="1" applyFont="1" applyFill="1" applyBorder="1" applyAlignment="1">
      <alignment horizontal="center" vertical="center" textRotation="90" wrapText="1"/>
    </xf>
    <xf numFmtId="9" fontId="8" fillId="3" borderId="12" xfId="0" applyNumberFormat="1" applyFont="1" applyFill="1" applyBorder="1" applyAlignment="1">
      <alignment horizontal="center" vertical="center" textRotation="90" wrapText="1"/>
    </xf>
    <xf numFmtId="9" fontId="8" fillId="3" borderId="10" xfId="0" applyNumberFormat="1" applyFont="1" applyFill="1" applyBorder="1" applyAlignment="1">
      <alignment horizontal="center" vertical="center" textRotation="90" wrapText="1"/>
    </xf>
    <xf numFmtId="0" fontId="8" fillId="3" borderId="1" xfId="2" applyFont="1" applyFill="1" applyBorder="1" applyAlignment="1">
      <alignment horizontal="center" vertical="center"/>
    </xf>
    <xf numFmtId="0" fontId="8" fillId="3" borderId="0" xfId="0" applyFont="1" applyFill="1" applyAlignment="1">
      <alignment horizontal="center" vertical="top" wrapText="1"/>
    </xf>
    <xf numFmtId="1" fontId="8" fillId="2" borderId="0" xfId="0" applyNumberFormat="1" applyFont="1" applyFill="1" applyAlignment="1" applyProtection="1">
      <alignment horizontal="center" vertical="center" wrapText="1" shrinkToFit="1"/>
      <protection hidden="1"/>
    </xf>
    <xf numFmtId="9" fontId="8" fillId="3" borderId="1" xfId="0" applyNumberFormat="1" applyFont="1" applyFill="1" applyBorder="1" applyAlignment="1">
      <alignment horizontal="center" vertical="center" textRotation="90" wrapText="1"/>
    </xf>
    <xf numFmtId="0" fontId="8" fillId="3" borderId="1" xfId="0" applyFont="1" applyFill="1" applyBorder="1" applyAlignment="1">
      <alignment horizontal="center" vertical="center" textRotation="90" wrapText="1"/>
    </xf>
    <xf numFmtId="0" fontId="8" fillId="3" borderId="0" xfId="2" applyFont="1" applyFill="1" applyAlignment="1">
      <alignment horizontal="center" vertical="center" wrapText="1"/>
    </xf>
    <xf numFmtId="0" fontId="8" fillId="3" borderId="0" xfId="2" applyFont="1" applyFill="1" applyAlignment="1">
      <alignment horizontal="center" vertical="center"/>
    </xf>
    <xf numFmtId="0" fontId="4"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textRotation="90"/>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9" fontId="8" fillId="3" borderId="1" xfId="0" applyNumberFormat="1" applyFont="1" applyFill="1" applyBorder="1" applyAlignment="1">
      <alignment horizontal="center" vertical="center" wrapText="1"/>
    </xf>
    <xf numFmtId="0" fontId="8" fillId="0" borderId="1" xfId="0" applyFont="1" applyBorder="1" applyAlignment="1">
      <alignment horizontal="center" vertical="center" textRotation="90" wrapText="1"/>
    </xf>
    <xf numFmtId="0" fontId="8" fillId="3" borderId="4" xfId="2" applyFont="1" applyFill="1" applyBorder="1" applyAlignment="1">
      <alignment horizontal="center" vertical="center"/>
    </xf>
    <xf numFmtId="0" fontId="8" fillId="3" borderId="5"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11"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3" fontId="8" fillId="3" borderId="11" xfId="0" applyNumberFormat="1" applyFont="1" applyFill="1" applyBorder="1" applyAlignment="1">
      <alignment horizontal="center" vertical="center" textRotation="90" wrapText="1"/>
    </xf>
    <xf numFmtId="3" fontId="8" fillId="3" borderId="12" xfId="0" applyNumberFormat="1" applyFont="1" applyFill="1" applyBorder="1" applyAlignment="1">
      <alignment horizontal="center" vertical="center" textRotation="90" wrapText="1"/>
    </xf>
    <xf numFmtId="3" fontId="8" fillId="3" borderId="10" xfId="0" applyNumberFormat="1" applyFont="1" applyFill="1" applyBorder="1" applyAlignment="1">
      <alignment horizontal="center" vertical="center" textRotation="90" wrapText="1"/>
    </xf>
    <xf numFmtId="9" fontId="8" fillId="3" borderId="1"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49" fontId="8" fillId="3" borderId="1" xfId="0" applyNumberFormat="1" applyFont="1" applyFill="1" applyBorder="1" applyAlignment="1">
      <alignment horizontal="center" vertical="center" textRotation="90" wrapText="1"/>
    </xf>
    <xf numFmtId="0" fontId="31" fillId="0" borderId="1" xfId="0" applyFont="1" applyBorder="1" applyAlignment="1">
      <alignment horizontal="center" vertical="center" textRotation="90"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164" fontId="8" fillId="3" borderId="6" xfId="9" applyFont="1" applyFill="1" applyBorder="1" applyAlignment="1">
      <alignment horizontal="center" vertical="center" wrapText="1"/>
    </xf>
    <xf numFmtId="164" fontId="8" fillId="3" borderId="7" xfId="9" applyFont="1" applyFill="1" applyBorder="1" applyAlignment="1">
      <alignment horizontal="center" vertical="center" wrapText="1"/>
    </xf>
    <xf numFmtId="164" fontId="8" fillId="3" borderId="13" xfId="9" applyFont="1" applyFill="1" applyBorder="1" applyAlignment="1">
      <alignment horizontal="center" vertical="center" wrapText="1"/>
    </xf>
    <xf numFmtId="164" fontId="8" fillId="3" borderId="8" xfId="9" applyFont="1" applyFill="1" applyBorder="1" applyAlignment="1">
      <alignment horizontal="center" vertical="center" wrapText="1"/>
    </xf>
    <xf numFmtId="164" fontId="8" fillId="3" borderId="3" xfId="9" applyFont="1" applyFill="1" applyBorder="1" applyAlignment="1">
      <alignment horizontal="center" vertical="center" wrapText="1"/>
    </xf>
    <xf numFmtId="164" fontId="8" fillId="3" borderId="9" xfId="9"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0" borderId="0" xfId="2" applyFont="1" applyAlignment="1">
      <alignment horizont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0" fillId="0" borderId="1" xfId="0" applyBorder="1" applyAlignment="1">
      <alignment horizontal="center" vertical="center" wrapText="1"/>
    </xf>
  </cellXfs>
  <cellStyles count="10">
    <cellStyle name="Еренсілтеме" xfId="1" builtinId="8"/>
    <cellStyle name="Қалыпты" xfId="0" builtinId="0"/>
    <cellStyle name="Обычный 2" xfId="2" xr:uid="{00000000-0005-0000-0000-000002000000}"/>
    <cellStyle name="Обычный 2 2" xfId="3" xr:uid="{00000000-0005-0000-0000-000003000000}"/>
    <cellStyle name="Обычный 2 3" xfId="4" xr:uid="{00000000-0005-0000-0000-000004000000}"/>
    <cellStyle name="Обычный 3" xfId="5" xr:uid="{00000000-0005-0000-0000-000005000000}"/>
    <cellStyle name="Обычный 3 4 4" xfId="6" xr:uid="{00000000-0005-0000-0000-000006000000}"/>
    <cellStyle name="Обычный 3 8" xfId="7" xr:uid="{00000000-0005-0000-0000-000007000000}"/>
    <cellStyle name="Обычный 4" xfId="8" xr:uid="{00000000-0005-0000-0000-000008000000}"/>
    <cellStyle name="Үтір" xfId="9"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6%20&#1058;&#1072;&#1089;&#1086;&#1074;&#1072;%20&#1044;&#1072;&#1088;&#1099;&#1085;.xls%20&#1085;&#1072;%20&#1103;&#1085;&#1074;&#1072;&#1088;&#1100;%202022&#107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 штат"/>
      <sheetName val="ШТАТ АУП 2022"/>
      <sheetName val="тариф мугалим"/>
      <sheetName val="анык"/>
    </sheetNames>
    <sheetDataSet>
      <sheetData sheetId="0"/>
      <sheetData sheetId="1"/>
      <sheetData sheetId="2">
        <row r="89">
          <cell r="AJ89">
            <v>344228.77125000005</v>
          </cell>
        </row>
      </sheetData>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kaz/docs/Z070000319_"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6"/>
  <sheetViews>
    <sheetView topLeftCell="A112" workbookViewId="0">
      <selection activeCell="C132" sqref="C132"/>
    </sheetView>
  </sheetViews>
  <sheetFormatPr defaultColWidth="6.1796875" defaultRowHeight="13" x14ac:dyDescent="0.3"/>
  <cols>
    <col min="1" max="1" width="6.1796875" style="101" customWidth="1"/>
    <col min="2" max="2" width="18.54296875" style="101" customWidth="1"/>
    <col min="3" max="3" width="6.1796875" style="101" customWidth="1"/>
    <col min="4" max="4" width="7.54296875" style="101" customWidth="1"/>
    <col min="5" max="5" width="6.1796875" style="112" customWidth="1"/>
    <col min="6" max="6" width="7.1796875" style="102" customWidth="1"/>
    <col min="7" max="7" width="6.1796875" style="101" customWidth="1"/>
    <col min="8" max="8" width="11.453125" style="102" customWidth="1"/>
    <col min="9" max="9" width="8.81640625" style="102" hidden="1" customWidth="1"/>
    <col min="10" max="10" width="10.54296875" style="102" customWidth="1"/>
    <col min="11" max="11" width="10.26953125" style="102" customWidth="1"/>
    <col min="12" max="12" width="6.1796875" style="102" hidden="1" customWidth="1"/>
    <col min="13" max="13" width="9" style="102" customWidth="1"/>
    <col min="14" max="14" width="6.1796875" style="102" customWidth="1"/>
    <col min="15" max="15" width="7.81640625" style="102" customWidth="1"/>
    <col min="16" max="16" width="8.1796875" style="102" customWidth="1"/>
    <col min="17" max="17" width="9.54296875" style="102" customWidth="1"/>
    <col min="18" max="18" width="7.26953125" style="102" customWidth="1"/>
    <col min="19" max="19" width="9.1796875" style="102" customWidth="1"/>
    <col min="20" max="20" width="10.1796875" style="102" customWidth="1"/>
    <col min="21" max="21" width="9.26953125" style="102" customWidth="1"/>
    <col min="22" max="22" width="8.81640625" style="102" customWidth="1"/>
    <col min="23" max="23" width="12.1796875" style="102" customWidth="1"/>
    <col min="24" max="24" width="10.1796875" style="102" customWidth="1"/>
    <col min="25" max="25" width="6.1796875" style="101"/>
    <col min="26" max="26" width="7.26953125" style="101" bestFit="1" customWidth="1"/>
    <col min="27" max="16384" width="6.1796875" style="101"/>
  </cols>
  <sheetData>
    <row r="1" spans="1:24" ht="14.25" customHeight="1" x14ac:dyDescent="0.3">
      <c r="B1" s="208" t="s">
        <v>455</v>
      </c>
      <c r="C1" s="100"/>
      <c r="D1" s="102"/>
      <c r="F1" s="101"/>
      <c r="S1" s="79" t="s">
        <v>9</v>
      </c>
    </row>
    <row r="2" spans="1:24" ht="14.25" customHeight="1" x14ac:dyDescent="0.3">
      <c r="B2" s="208" t="s">
        <v>38</v>
      </c>
      <c r="C2" s="100"/>
      <c r="D2" s="102"/>
      <c r="F2" s="101"/>
      <c r="S2" s="80" t="s">
        <v>38</v>
      </c>
    </row>
    <row r="3" spans="1:24" ht="14.25" customHeight="1" x14ac:dyDescent="0.3">
      <c r="B3" s="208" t="s">
        <v>456</v>
      </c>
      <c r="C3" s="100"/>
      <c r="D3" s="102"/>
      <c r="F3" s="101"/>
      <c r="S3" s="79" t="s">
        <v>331</v>
      </c>
    </row>
    <row r="4" spans="1:24" ht="14.25" customHeight="1" x14ac:dyDescent="0.3">
      <c r="B4" s="208" t="s">
        <v>457</v>
      </c>
      <c r="C4" s="100"/>
      <c r="D4" s="102"/>
      <c r="F4" s="101"/>
      <c r="S4" s="79" t="s">
        <v>332</v>
      </c>
    </row>
    <row r="5" spans="1:24" ht="14.25" customHeight="1" x14ac:dyDescent="0.3">
      <c r="B5" s="208"/>
      <c r="C5" s="100"/>
      <c r="D5" s="102"/>
      <c r="F5" s="101"/>
      <c r="S5" s="79" t="s">
        <v>333</v>
      </c>
    </row>
    <row r="6" spans="1:24" ht="14.25" customHeight="1" x14ac:dyDescent="0.3">
      <c r="B6" s="208" t="s">
        <v>458</v>
      </c>
      <c r="C6" s="100"/>
      <c r="D6" s="102"/>
      <c r="F6" s="101"/>
      <c r="S6" s="79" t="s">
        <v>334</v>
      </c>
    </row>
    <row r="7" spans="1:24" ht="14.25" customHeight="1" x14ac:dyDescent="0.3">
      <c r="B7" s="208" t="s">
        <v>459</v>
      </c>
      <c r="C7" s="100"/>
      <c r="D7" s="102"/>
      <c r="F7" s="101"/>
      <c r="S7" s="81" t="s">
        <v>335</v>
      </c>
    </row>
    <row r="8" spans="1:24" ht="13.5" customHeight="1" x14ac:dyDescent="0.3">
      <c r="B8" s="148"/>
      <c r="C8" s="100"/>
      <c r="D8" s="102"/>
      <c r="F8" s="101"/>
      <c r="S8" s="81"/>
    </row>
    <row r="9" spans="1:24" ht="39.65" customHeight="1" x14ac:dyDescent="0.3">
      <c r="A9" s="403" t="s">
        <v>460</v>
      </c>
      <c r="B9" s="403"/>
      <c r="C9" s="403"/>
      <c r="D9" s="403"/>
      <c r="E9" s="403"/>
      <c r="F9" s="403"/>
      <c r="G9" s="403"/>
      <c r="H9" s="403"/>
      <c r="I9" s="403"/>
      <c r="J9" s="403"/>
      <c r="K9" s="403"/>
      <c r="L9" s="403"/>
      <c r="M9" s="403"/>
      <c r="N9" s="403"/>
      <c r="O9" s="403"/>
      <c r="P9" s="403"/>
      <c r="Q9" s="403"/>
      <c r="R9" s="403"/>
      <c r="S9" s="403"/>
      <c r="T9" s="403"/>
      <c r="U9" s="403"/>
      <c r="V9" s="403"/>
      <c r="W9" s="403"/>
      <c r="X9" s="403"/>
    </row>
    <row r="10" spans="1:24" s="152" customFormat="1" ht="20.25" customHeight="1" x14ac:dyDescent="0.25">
      <c r="A10" s="404" t="s">
        <v>22</v>
      </c>
      <c r="B10" s="404" t="s">
        <v>0</v>
      </c>
      <c r="C10" s="404" t="s">
        <v>2</v>
      </c>
      <c r="D10" s="404" t="s">
        <v>35</v>
      </c>
      <c r="E10" s="411" t="s">
        <v>3</v>
      </c>
      <c r="F10" s="413" t="s">
        <v>53</v>
      </c>
      <c r="G10" s="404" t="s">
        <v>51</v>
      </c>
      <c r="H10" s="406" t="s">
        <v>4</v>
      </c>
      <c r="I10" s="406" t="s">
        <v>52</v>
      </c>
      <c r="J10" s="406" t="s">
        <v>42</v>
      </c>
      <c r="K10" s="408" t="s">
        <v>44</v>
      </c>
      <c r="L10" s="409"/>
      <c r="M10" s="409"/>
      <c r="N10" s="409"/>
      <c r="O10" s="409"/>
      <c r="P10" s="409"/>
      <c r="Q10" s="409"/>
      <c r="R10" s="410" t="s">
        <v>44</v>
      </c>
      <c r="S10" s="410"/>
      <c r="T10" s="410"/>
      <c r="U10" s="410"/>
      <c r="V10" s="410"/>
      <c r="W10" s="406" t="s">
        <v>66</v>
      </c>
      <c r="X10" s="406" t="s">
        <v>67</v>
      </c>
    </row>
    <row r="11" spans="1:24" s="152" customFormat="1" ht="96" customHeight="1" x14ac:dyDescent="0.25">
      <c r="A11" s="405"/>
      <c r="B11" s="405"/>
      <c r="C11" s="405"/>
      <c r="D11" s="405"/>
      <c r="E11" s="412"/>
      <c r="F11" s="414"/>
      <c r="G11" s="405"/>
      <c r="H11" s="407"/>
      <c r="I11" s="407"/>
      <c r="J11" s="407"/>
      <c r="K11" s="39">
        <v>0.1</v>
      </c>
      <c r="L11" s="39" t="s">
        <v>73</v>
      </c>
      <c r="M11" s="55" t="s">
        <v>48</v>
      </c>
      <c r="N11" s="55" t="s">
        <v>356</v>
      </c>
      <c r="O11" s="55" t="s">
        <v>55</v>
      </c>
      <c r="P11" s="55" t="s">
        <v>54</v>
      </c>
      <c r="Q11" s="55" t="s">
        <v>44</v>
      </c>
      <c r="R11" s="137" t="s">
        <v>45</v>
      </c>
      <c r="S11" s="137" t="s">
        <v>46</v>
      </c>
      <c r="T11" s="137" t="s">
        <v>49</v>
      </c>
      <c r="U11" s="137" t="s">
        <v>47</v>
      </c>
      <c r="V11" s="137" t="s">
        <v>68</v>
      </c>
      <c r="W11" s="407"/>
      <c r="X11" s="407"/>
    </row>
    <row r="12" spans="1:24" s="147" customFormat="1" x14ac:dyDescent="0.25">
      <c r="A12" s="77">
        <v>1</v>
      </c>
      <c r="B12" s="142" t="s">
        <v>5</v>
      </c>
      <c r="C12" s="77">
        <v>1</v>
      </c>
      <c r="D12" s="77" t="s">
        <v>318</v>
      </c>
      <c r="E12" s="113">
        <v>6.58</v>
      </c>
      <c r="F12" s="104">
        <v>17697</v>
      </c>
      <c r="G12" s="76">
        <v>1.75</v>
      </c>
      <c r="H12" s="104">
        <f t="shared" ref="H12:H75" si="0">(E12*17697*C12)*G12</f>
        <v>203780.95499999999</v>
      </c>
      <c r="I12" s="104">
        <v>0</v>
      </c>
      <c r="J12" s="104">
        <f>H12+I12</f>
        <v>203780.95499999999</v>
      </c>
      <c r="K12" s="104">
        <f>J12*10%</f>
        <v>20378.095499999999</v>
      </c>
      <c r="L12" s="104"/>
      <c r="M12" s="153"/>
      <c r="N12" s="153"/>
      <c r="O12" s="105"/>
      <c r="P12" s="153"/>
      <c r="Q12" s="105"/>
      <c r="R12" s="105"/>
      <c r="S12" s="105"/>
      <c r="T12" s="105"/>
      <c r="U12" s="105"/>
      <c r="V12" s="105"/>
      <c r="W12" s="105">
        <f>SUM(J12:V12)</f>
        <v>224159.05049999998</v>
      </c>
      <c r="X12" s="105">
        <f>W12*12/1000</f>
        <v>2689.9086059999995</v>
      </c>
    </row>
    <row r="13" spans="1:24" s="147" customFormat="1" ht="52" x14ac:dyDescent="0.25">
      <c r="A13" s="77">
        <v>2</v>
      </c>
      <c r="B13" s="142" t="s">
        <v>182</v>
      </c>
      <c r="C13" s="77">
        <v>1</v>
      </c>
      <c r="D13" s="77" t="s">
        <v>319</v>
      </c>
      <c r="E13" s="113">
        <v>6.6</v>
      </c>
      <c r="F13" s="104">
        <v>17697</v>
      </c>
      <c r="G13" s="76">
        <v>1.75</v>
      </c>
      <c r="H13" s="104">
        <f t="shared" si="0"/>
        <v>204400.35</v>
      </c>
      <c r="I13" s="104">
        <v>0</v>
      </c>
      <c r="J13" s="104">
        <f t="shared" ref="J13:J76" si="1">H13+I13</f>
        <v>204400.35</v>
      </c>
      <c r="K13" s="104">
        <f t="shared" ref="K13:K76" si="2">J13*10%</f>
        <v>20440.035000000003</v>
      </c>
      <c r="L13" s="104"/>
      <c r="M13" s="153"/>
      <c r="N13" s="153"/>
      <c r="O13" s="105"/>
      <c r="P13" s="153"/>
      <c r="Q13" s="105"/>
      <c r="R13" s="105"/>
      <c r="S13" s="105"/>
      <c r="T13" s="105"/>
      <c r="U13" s="105"/>
      <c r="V13" s="105">
        <f>J13</f>
        <v>204400.35</v>
      </c>
      <c r="W13" s="105">
        <f t="shared" ref="W13:W76" si="3">SUM(J13:V13)</f>
        <v>429240.73499999999</v>
      </c>
      <c r="X13" s="105">
        <f t="shared" ref="X13:X76" si="4">W13*12/1000</f>
        <v>5150.8888200000001</v>
      </c>
    </row>
    <row r="14" spans="1:24" s="147" customFormat="1" ht="26" x14ac:dyDescent="0.25">
      <c r="A14" s="77">
        <v>3</v>
      </c>
      <c r="B14" s="142" t="s">
        <v>183</v>
      </c>
      <c r="C14" s="77">
        <v>1</v>
      </c>
      <c r="D14" s="77" t="s">
        <v>319</v>
      </c>
      <c r="E14" s="113">
        <v>6.25</v>
      </c>
      <c r="F14" s="104">
        <v>17697</v>
      </c>
      <c r="G14" s="76">
        <v>1.75</v>
      </c>
      <c r="H14" s="104">
        <f t="shared" si="0"/>
        <v>193560.9375</v>
      </c>
      <c r="I14" s="104">
        <v>0</v>
      </c>
      <c r="J14" s="104">
        <f t="shared" si="1"/>
        <v>193560.9375</v>
      </c>
      <c r="K14" s="104">
        <f t="shared" si="2"/>
        <v>19356.09375</v>
      </c>
      <c r="L14" s="104"/>
      <c r="M14" s="153"/>
      <c r="N14" s="153"/>
      <c r="O14" s="105"/>
      <c r="P14" s="153"/>
      <c r="Q14" s="105"/>
      <c r="R14" s="105"/>
      <c r="S14" s="105"/>
      <c r="T14" s="105"/>
      <c r="U14" s="105"/>
      <c r="V14" s="105">
        <f>J14</f>
        <v>193560.9375</v>
      </c>
      <c r="W14" s="105">
        <f t="shared" si="3"/>
        <v>406477.96875</v>
      </c>
      <c r="X14" s="105">
        <f t="shared" si="4"/>
        <v>4877.7356250000003</v>
      </c>
    </row>
    <row r="15" spans="1:24" s="147" customFormat="1" ht="39" x14ac:dyDescent="0.25">
      <c r="A15" s="77">
        <v>4</v>
      </c>
      <c r="B15" s="64" t="s">
        <v>184</v>
      </c>
      <c r="C15" s="77">
        <v>1</v>
      </c>
      <c r="D15" s="140" t="s">
        <v>319</v>
      </c>
      <c r="E15" s="114">
        <v>6.08</v>
      </c>
      <c r="F15" s="104">
        <v>17697</v>
      </c>
      <c r="G15" s="76">
        <v>1.75</v>
      </c>
      <c r="H15" s="104">
        <f t="shared" si="0"/>
        <v>188296.08</v>
      </c>
      <c r="I15" s="104">
        <v>0</v>
      </c>
      <c r="J15" s="104">
        <f t="shared" si="1"/>
        <v>188296.08</v>
      </c>
      <c r="K15" s="104">
        <f t="shared" si="2"/>
        <v>18829.608</v>
      </c>
      <c r="L15" s="104"/>
      <c r="M15" s="153"/>
      <c r="N15" s="153"/>
      <c r="O15" s="105"/>
      <c r="P15" s="153"/>
      <c r="Q15" s="105"/>
      <c r="R15" s="105"/>
      <c r="S15" s="105"/>
      <c r="T15" s="105"/>
      <c r="U15" s="105"/>
      <c r="V15" s="105"/>
      <c r="W15" s="105">
        <f t="shared" si="3"/>
        <v>207125.68799999999</v>
      </c>
      <c r="X15" s="105">
        <f t="shared" si="4"/>
        <v>2485.5082560000001</v>
      </c>
    </row>
    <row r="16" spans="1:24" s="147" customFormat="1" ht="26" x14ac:dyDescent="0.25">
      <c r="A16" s="77">
        <v>5</v>
      </c>
      <c r="B16" s="142" t="s">
        <v>186</v>
      </c>
      <c r="C16" s="77">
        <v>1</v>
      </c>
      <c r="D16" s="77" t="s">
        <v>319</v>
      </c>
      <c r="E16" s="113">
        <v>6.6</v>
      </c>
      <c r="F16" s="104">
        <v>17697</v>
      </c>
      <c r="G16" s="76">
        <v>1.75</v>
      </c>
      <c r="H16" s="104">
        <f t="shared" si="0"/>
        <v>204400.35</v>
      </c>
      <c r="I16" s="104">
        <v>0</v>
      </c>
      <c r="J16" s="104">
        <f t="shared" si="1"/>
        <v>204400.35</v>
      </c>
      <c r="K16" s="104">
        <f t="shared" si="2"/>
        <v>20440.035000000003</v>
      </c>
      <c r="L16" s="104"/>
      <c r="M16" s="153"/>
      <c r="N16" s="153"/>
      <c r="O16" s="105"/>
      <c r="P16" s="153"/>
      <c r="Q16" s="105"/>
      <c r="R16" s="105"/>
      <c r="S16" s="105"/>
      <c r="T16" s="105"/>
      <c r="U16" s="105"/>
      <c r="V16" s="105">
        <f>J16</f>
        <v>204400.35</v>
      </c>
      <c r="W16" s="105">
        <f t="shared" si="3"/>
        <v>429240.73499999999</v>
      </c>
      <c r="X16" s="105">
        <f t="shared" si="4"/>
        <v>5150.8888200000001</v>
      </c>
    </row>
    <row r="17" spans="1:24" s="147" customFormat="1" ht="26" x14ac:dyDescent="0.25">
      <c r="A17" s="77">
        <v>6</v>
      </c>
      <c r="B17" s="142" t="s">
        <v>183</v>
      </c>
      <c r="C17" s="77">
        <v>0.5</v>
      </c>
      <c r="D17" s="77" t="s">
        <v>319</v>
      </c>
      <c r="E17" s="113">
        <v>6.25</v>
      </c>
      <c r="F17" s="104">
        <v>17697</v>
      </c>
      <c r="G17" s="76">
        <v>1.75</v>
      </c>
      <c r="H17" s="104">
        <f t="shared" si="0"/>
        <v>96780.46875</v>
      </c>
      <c r="I17" s="104">
        <v>0</v>
      </c>
      <c r="J17" s="104">
        <f t="shared" si="1"/>
        <v>96780.46875</v>
      </c>
      <c r="K17" s="104">
        <f t="shared" si="2"/>
        <v>9678.046875</v>
      </c>
      <c r="L17" s="104"/>
      <c r="M17" s="153"/>
      <c r="N17" s="153"/>
      <c r="O17" s="105"/>
      <c r="P17" s="153"/>
      <c r="Q17" s="105"/>
      <c r="R17" s="105"/>
      <c r="S17" s="105"/>
      <c r="T17" s="105"/>
      <c r="U17" s="105"/>
      <c r="V17" s="105">
        <f>J17/2</f>
        <v>48390.234375</v>
      </c>
      <c r="W17" s="105">
        <f t="shared" si="3"/>
        <v>154848.75</v>
      </c>
      <c r="X17" s="105">
        <f t="shared" si="4"/>
        <v>1858.1849999999999</v>
      </c>
    </row>
    <row r="18" spans="1:24" s="147" customFormat="1" ht="39" x14ac:dyDescent="0.25">
      <c r="A18" s="77">
        <v>7</v>
      </c>
      <c r="B18" s="142" t="s">
        <v>189</v>
      </c>
      <c r="C18" s="77">
        <v>1</v>
      </c>
      <c r="D18" s="77" t="s">
        <v>320</v>
      </c>
      <c r="E18" s="113">
        <v>5.51</v>
      </c>
      <c r="F18" s="104">
        <v>17697</v>
      </c>
      <c r="G18" s="76">
        <v>1.23</v>
      </c>
      <c r="H18" s="104">
        <f t="shared" si="0"/>
        <v>119937.8781</v>
      </c>
      <c r="I18" s="104">
        <v>0</v>
      </c>
      <c r="J18" s="104">
        <f t="shared" si="1"/>
        <v>119937.8781</v>
      </c>
      <c r="K18" s="104">
        <f t="shared" si="2"/>
        <v>11993.787810000002</v>
      </c>
      <c r="L18" s="104"/>
      <c r="M18" s="153"/>
      <c r="N18" s="153"/>
      <c r="O18" s="105"/>
      <c r="P18" s="153"/>
      <c r="Q18" s="105"/>
      <c r="R18" s="105"/>
      <c r="S18" s="105"/>
      <c r="T18" s="105"/>
      <c r="U18" s="105"/>
      <c r="V18" s="105"/>
      <c r="W18" s="105">
        <f t="shared" si="3"/>
        <v>131931.66591000001</v>
      </c>
      <c r="X18" s="105">
        <f t="shared" si="4"/>
        <v>1583.1799909200001</v>
      </c>
    </row>
    <row r="19" spans="1:24" s="147" customFormat="1" x14ac:dyDescent="0.25">
      <c r="A19" s="77">
        <v>8</v>
      </c>
      <c r="B19" s="142" t="s">
        <v>6</v>
      </c>
      <c r="C19" s="77">
        <v>1</v>
      </c>
      <c r="D19" s="77" t="s">
        <v>320</v>
      </c>
      <c r="E19" s="113">
        <v>5.98</v>
      </c>
      <c r="F19" s="104">
        <v>17697</v>
      </c>
      <c r="G19" s="76">
        <v>1.23</v>
      </c>
      <c r="H19" s="104">
        <f t="shared" si="0"/>
        <v>130168.51380000002</v>
      </c>
      <c r="I19" s="104">
        <v>0</v>
      </c>
      <c r="J19" s="104">
        <f t="shared" si="1"/>
        <v>130168.51380000002</v>
      </c>
      <c r="K19" s="104">
        <f t="shared" si="2"/>
        <v>13016.851380000002</v>
      </c>
      <c r="L19" s="104"/>
      <c r="M19" s="153"/>
      <c r="N19" s="153"/>
      <c r="O19" s="105"/>
      <c r="P19" s="153"/>
      <c r="Q19" s="105"/>
      <c r="R19" s="105"/>
      <c r="S19" s="105"/>
      <c r="T19" s="105"/>
      <c r="U19" s="105"/>
      <c r="V19" s="105"/>
      <c r="W19" s="105">
        <f t="shared" si="3"/>
        <v>143185.36518000002</v>
      </c>
      <c r="X19" s="105">
        <f t="shared" si="4"/>
        <v>1718.2243821600002</v>
      </c>
    </row>
    <row r="20" spans="1:24" s="147" customFormat="1" x14ac:dyDescent="0.25">
      <c r="A20" s="77">
        <v>9</v>
      </c>
      <c r="B20" s="142" t="s">
        <v>192</v>
      </c>
      <c r="C20" s="77">
        <v>0.5</v>
      </c>
      <c r="D20" s="103" t="s">
        <v>321</v>
      </c>
      <c r="E20" s="157">
        <v>4.6100000000000003</v>
      </c>
      <c r="F20" s="104">
        <v>17697</v>
      </c>
      <c r="G20" s="76">
        <v>1.23</v>
      </c>
      <c r="H20" s="104">
        <f t="shared" si="0"/>
        <v>50173.649550000009</v>
      </c>
      <c r="I20" s="104"/>
      <c r="J20" s="104">
        <f t="shared" si="1"/>
        <v>50173.649550000009</v>
      </c>
      <c r="K20" s="104">
        <f t="shared" si="2"/>
        <v>5017.3649550000009</v>
      </c>
      <c r="L20" s="104"/>
      <c r="M20" s="153"/>
      <c r="N20" s="153"/>
      <c r="O20" s="105"/>
      <c r="P20" s="153"/>
      <c r="Q20" s="105"/>
      <c r="R20" s="105"/>
      <c r="S20" s="105"/>
      <c r="T20" s="105"/>
      <c r="U20" s="105"/>
      <c r="V20" s="105"/>
      <c r="W20" s="105">
        <f t="shared" si="3"/>
        <v>55191.014505000014</v>
      </c>
      <c r="X20" s="105">
        <f t="shared" si="4"/>
        <v>662.29217406000009</v>
      </c>
    </row>
    <row r="21" spans="1:24" s="147" customFormat="1" x14ac:dyDescent="0.25">
      <c r="A21" s="77">
        <v>10</v>
      </c>
      <c r="B21" s="142" t="s">
        <v>192</v>
      </c>
      <c r="C21" s="77">
        <v>1.5</v>
      </c>
      <c r="D21" s="77" t="s">
        <v>321</v>
      </c>
      <c r="E21" s="113">
        <v>4.2699999999999996</v>
      </c>
      <c r="F21" s="104">
        <v>17697</v>
      </c>
      <c r="G21" s="76">
        <v>1.23</v>
      </c>
      <c r="H21" s="104">
        <f t="shared" si="0"/>
        <v>139419.62054999996</v>
      </c>
      <c r="I21" s="104"/>
      <c r="J21" s="104">
        <f t="shared" si="1"/>
        <v>139419.62054999996</v>
      </c>
      <c r="K21" s="104">
        <f t="shared" si="2"/>
        <v>13941.962054999996</v>
      </c>
      <c r="L21" s="104"/>
      <c r="M21" s="153"/>
      <c r="N21" s="153"/>
      <c r="O21" s="105"/>
      <c r="P21" s="153"/>
      <c r="Q21" s="105"/>
      <c r="R21" s="105"/>
      <c r="S21" s="105"/>
      <c r="T21" s="105"/>
      <c r="U21" s="105"/>
      <c r="V21" s="105"/>
      <c r="W21" s="105">
        <f t="shared" si="3"/>
        <v>153361.58260499995</v>
      </c>
      <c r="X21" s="105">
        <f t="shared" si="4"/>
        <v>1840.3389912599994</v>
      </c>
    </row>
    <row r="22" spans="1:24" s="147" customFormat="1" ht="26" x14ac:dyDescent="0.25">
      <c r="A22" s="77">
        <v>11</v>
      </c>
      <c r="B22" s="142" t="s">
        <v>194</v>
      </c>
      <c r="C22" s="77">
        <v>1</v>
      </c>
      <c r="D22" s="77" t="s">
        <v>322</v>
      </c>
      <c r="E22" s="113">
        <v>3.68</v>
      </c>
      <c r="F22" s="104">
        <v>17697</v>
      </c>
      <c r="G22" s="76">
        <v>1.23</v>
      </c>
      <c r="H22" s="104">
        <f t="shared" si="0"/>
        <v>80103.700800000006</v>
      </c>
      <c r="I22" s="104"/>
      <c r="J22" s="104">
        <f t="shared" si="1"/>
        <v>80103.700800000006</v>
      </c>
      <c r="K22" s="104">
        <f t="shared" si="2"/>
        <v>8010.3700800000006</v>
      </c>
      <c r="L22" s="104"/>
      <c r="M22" s="153"/>
      <c r="N22" s="153"/>
      <c r="O22" s="105"/>
      <c r="P22" s="153"/>
      <c r="Q22" s="105"/>
      <c r="R22" s="105"/>
      <c r="S22" s="105"/>
      <c r="T22" s="105"/>
      <c r="U22" s="105"/>
      <c r="V22" s="105"/>
      <c r="W22" s="105">
        <f t="shared" si="3"/>
        <v>88114.070880000014</v>
      </c>
      <c r="X22" s="105">
        <f t="shared" si="4"/>
        <v>1057.3688505600001</v>
      </c>
    </row>
    <row r="23" spans="1:24" s="147" customFormat="1" ht="26" x14ac:dyDescent="0.25">
      <c r="A23" s="77">
        <v>12</v>
      </c>
      <c r="B23" s="142" t="s">
        <v>195</v>
      </c>
      <c r="C23" s="77">
        <v>1</v>
      </c>
      <c r="D23" s="77" t="s">
        <v>176</v>
      </c>
      <c r="E23" s="113">
        <v>5.32</v>
      </c>
      <c r="F23" s="104">
        <v>17697</v>
      </c>
      <c r="G23" s="76">
        <v>1.75</v>
      </c>
      <c r="H23" s="104">
        <f t="shared" si="0"/>
        <v>164759.07</v>
      </c>
      <c r="I23" s="104"/>
      <c r="J23" s="104">
        <f t="shared" si="1"/>
        <v>164759.07</v>
      </c>
      <c r="K23" s="104">
        <f t="shared" si="2"/>
        <v>16475.907000000003</v>
      </c>
      <c r="L23" s="104"/>
      <c r="M23" s="153"/>
      <c r="N23" s="153"/>
      <c r="O23" s="105"/>
      <c r="P23" s="153"/>
      <c r="Q23" s="105"/>
      <c r="R23" s="105"/>
      <c r="S23" s="105"/>
      <c r="T23" s="105"/>
      <c r="U23" s="105"/>
      <c r="V23" s="105"/>
      <c r="W23" s="105">
        <f t="shared" si="3"/>
        <v>181234.97700000001</v>
      </c>
      <c r="X23" s="105">
        <f t="shared" si="4"/>
        <v>2174.8197240000004</v>
      </c>
    </row>
    <row r="24" spans="1:24" s="147" customFormat="1" x14ac:dyDescent="0.25">
      <c r="A24" s="77">
        <v>13</v>
      </c>
      <c r="B24" s="142" t="s">
        <v>197</v>
      </c>
      <c r="C24" s="77">
        <v>1</v>
      </c>
      <c r="D24" s="77" t="s">
        <v>180</v>
      </c>
      <c r="E24" s="113">
        <v>4.0999999999999996</v>
      </c>
      <c r="F24" s="104">
        <v>17697</v>
      </c>
      <c r="G24" s="76">
        <v>1.75</v>
      </c>
      <c r="H24" s="104">
        <f t="shared" si="0"/>
        <v>126975.97499999999</v>
      </c>
      <c r="I24" s="104"/>
      <c r="J24" s="104">
        <f t="shared" si="1"/>
        <v>126975.97499999999</v>
      </c>
      <c r="K24" s="104">
        <f t="shared" si="2"/>
        <v>12697.5975</v>
      </c>
      <c r="L24" s="104"/>
      <c r="M24" s="153"/>
      <c r="N24" s="153"/>
      <c r="O24" s="105"/>
      <c r="P24" s="153"/>
      <c r="Q24" s="105"/>
      <c r="R24" s="105"/>
      <c r="S24" s="105"/>
      <c r="T24" s="105"/>
      <c r="U24" s="105"/>
      <c r="V24" s="105"/>
      <c r="W24" s="105">
        <f t="shared" si="3"/>
        <v>139673.57249999998</v>
      </c>
      <c r="X24" s="105">
        <f t="shared" si="4"/>
        <v>1676.0828699999997</v>
      </c>
    </row>
    <row r="25" spans="1:24" s="147" customFormat="1" x14ac:dyDescent="0.25">
      <c r="A25" s="77">
        <v>14</v>
      </c>
      <c r="B25" s="143" t="s">
        <v>199</v>
      </c>
      <c r="C25" s="103">
        <v>1</v>
      </c>
      <c r="D25" s="103" t="s">
        <v>323</v>
      </c>
      <c r="E25" s="113">
        <v>4.55</v>
      </c>
      <c r="F25" s="104">
        <v>17697</v>
      </c>
      <c r="G25" s="76">
        <v>1.75</v>
      </c>
      <c r="H25" s="104">
        <f t="shared" si="0"/>
        <v>140912.36249999999</v>
      </c>
      <c r="I25" s="104"/>
      <c r="J25" s="104">
        <f t="shared" si="1"/>
        <v>140912.36249999999</v>
      </c>
      <c r="K25" s="104">
        <f t="shared" si="2"/>
        <v>14091.23625</v>
      </c>
      <c r="L25" s="104"/>
      <c r="M25" s="153"/>
      <c r="N25" s="153"/>
      <c r="O25" s="105"/>
      <c r="P25" s="153"/>
      <c r="Q25" s="105"/>
      <c r="R25" s="105"/>
      <c r="S25" s="105"/>
      <c r="T25" s="105"/>
      <c r="U25" s="105"/>
      <c r="V25" s="105"/>
      <c r="W25" s="105">
        <f t="shared" si="3"/>
        <v>155003.59874999998</v>
      </c>
      <c r="X25" s="105">
        <f t="shared" si="4"/>
        <v>1860.0431849999995</v>
      </c>
    </row>
    <row r="26" spans="1:24" s="147" customFormat="1" x14ac:dyDescent="0.25">
      <c r="A26" s="77">
        <v>15</v>
      </c>
      <c r="B26" s="142" t="s">
        <v>201</v>
      </c>
      <c r="C26" s="77">
        <v>0.5</v>
      </c>
      <c r="D26" s="77" t="s">
        <v>323</v>
      </c>
      <c r="E26" s="113">
        <v>4.75</v>
      </c>
      <c r="F26" s="104">
        <v>17697</v>
      </c>
      <c r="G26" s="76">
        <v>1.75</v>
      </c>
      <c r="H26" s="104">
        <f t="shared" si="0"/>
        <v>73553.15625</v>
      </c>
      <c r="I26" s="104"/>
      <c r="J26" s="104">
        <f t="shared" si="1"/>
        <v>73553.15625</v>
      </c>
      <c r="K26" s="104">
        <f t="shared" si="2"/>
        <v>7355.3156250000002</v>
      </c>
      <c r="L26" s="104"/>
      <c r="M26" s="153"/>
      <c r="N26" s="153"/>
      <c r="O26" s="105"/>
      <c r="P26" s="153"/>
      <c r="Q26" s="105"/>
      <c r="R26" s="105"/>
      <c r="S26" s="105"/>
      <c r="T26" s="105"/>
      <c r="U26" s="105"/>
      <c r="V26" s="105"/>
      <c r="W26" s="105">
        <f t="shared" si="3"/>
        <v>80908.471875000003</v>
      </c>
      <c r="X26" s="105">
        <f t="shared" si="4"/>
        <v>970.90166250000004</v>
      </c>
    </row>
    <row r="27" spans="1:24" s="147" customFormat="1" x14ac:dyDescent="0.25">
      <c r="A27" s="77">
        <v>16</v>
      </c>
      <c r="B27" s="142" t="s">
        <v>203</v>
      </c>
      <c r="C27" s="77">
        <v>1</v>
      </c>
      <c r="D27" s="77" t="s">
        <v>323</v>
      </c>
      <c r="E27" s="113">
        <v>4.75</v>
      </c>
      <c r="F27" s="104">
        <v>17697</v>
      </c>
      <c r="G27" s="76">
        <v>1.75</v>
      </c>
      <c r="H27" s="104">
        <f t="shared" si="0"/>
        <v>147106.3125</v>
      </c>
      <c r="I27" s="104"/>
      <c r="J27" s="104">
        <f t="shared" si="1"/>
        <v>147106.3125</v>
      </c>
      <c r="K27" s="104">
        <f t="shared" si="2"/>
        <v>14710.63125</v>
      </c>
      <c r="L27" s="104"/>
      <c r="M27" s="153"/>
      <c r="N27" s="153"/>
      <c r="O27" s="105"/>
      <c r="P27" s="153"/>
      <c r="Q27" s="105"/>
      <c r="R27" s="105"/>
      <c r="S27" s="105"/>
      <c r="T27" s="105"/>
      <c r="U27" s="105"/>
      <c r="V27" s="105"/>
      <c r="W27" s="105">
        <f t="shared" si="3"/>
        <v>161816.94375000001</v>
      </c>
      <c r="X27" s="105">
        <f t="shared" si="4"/>
        <v>1941.8033250000001</v>
      </c>
    </row>
    <row r="28" spans="1:24" s="147" customFormat="1" x14ac:dyDescent="0.25">
      <c r="A28" s="77">
        <v>17</v>
      </c>
      <c r="B28" s="142" t="s">
        <v>204</v>
      </c>
      <c r="C28" s="77">
        <v>1</v>
      </c>
      <c r="D28" s="77" t="s">
        <v>176</v>
      </c>
      <c r="E28" s="113">
        <v>5.99</v>
      </c>
      <c r="F28" s="104">
        <v>17697</v>
      </c>
      <c r="G28" s="76">
        <v>2.63</v>
      </c>
      <c r="H28" s="104">
        <f t="shared" si="0"/>
        <v>278793.22889999999</v>
      </c>
      <c r="I28" s="104"/>
      <c r="J28" s="104">
        <f t="shared" si="1"/>
        <v>278793.22889999999</v>
      </c>
      <c r="K28" s="104">
        <f t="shared" si="2"/>
        <v>27879.322889999999</v>
      </c>
      <c r="L28" s="104"/>
      <c r="M28" s="153"/>
      <c r="N28" s="153"/>
      <c r="O28" s="105"/>
      <c r="P28" s="153"/>
      <c r="Q28" s="105"/>
      <c r="R28" s="105"/>
      <c r="S28" s="105"/>
      <c r="T28" s="105"/>
      <c r="U28" s="105"/>
      <c r="V28" s="105"/>
      <c r="W28" s="105">
        <f t="shared" si="3"/>
        <v>306672.55179</v>
      </c>
      <c r="X28" s="105">
        <f t="shared" si="4"/>
        <v>3680.0706214800002</v>
      </c>
    </row>
    <row r="29" spans="1:24" s="147" customFormat="1" x14ac:dyDescent="0.25">
      <c r="A29" s="77">
        <v>18</v>
      </c>
      <c r="B29" s="142" t="s">
        <v>206</v>
      </c>
      <c r="C29" s="77">
        <v>0.5</v>
      </c>
      <c r="D29" s="77" t="s">
        <v>324</v>
      </c>
      <c r="E29" s="113">
        <v>4.46</v>
      </c>
      <c r="F29" s="104">
        <v>17697</v>
      </c>
      <c r="G29" s="76">
        <v>1.95</v>
      </c>
      <c r="H29" s="104">
        <f t="shared" si="0"/>
        <v>76955.40449999999</v>
      </c>
      <c r="I29" s="104"/>
      <c r="J29" s="104">
        <f t="shared" si="1"/>
        <v>76955.40449999999</v>
      </c>
      <c r="K29" s="104">
        <f t="shared" si="2"/>
        <v>7695.5404499999995</v>
      </c>
      <c r="L29" s="104"/>
      <c r="M29" s="153"/>
      <c r="N29" s="153"/>
      <c r="O29" s="105"/>
      <c r="P29" s="153"/>
      <c r="Q29" s="105"/>
      <c r="R29" s="105"/>
      <c r="S29" s="105"/>
      <c r="T29" s="105"/>
      <c r="U29" s="105"/>
      <c r="V29" s="105"/>
      <c r="W29" s="105">
        <f t="shared" si="3"/>
        <v>84650.94494999999</v>
      </c>
      <c r="X29" s="105">
        <f t="shared" si="4"/>
        <v>1015.8113394</v>
      </c>
    </row>
    <row r="30" spans="1:24" s="147" customFormat="1" x14ac:dyDescent="0.25">
      <c r="A30" s="77">
        <v>19</v>
      </c>
      <c r="B30" s="142" t="s">
        <v>206</v>
      </c>
      <c r="C30" s="77">
        <v>1</v>
      </c>
      <c r="D30" s="77" t="s">
        <v>325</v>
      </c>
      <c r="E30" s="113">
        <v>3.41</v>
      </c>
      <c r="F30" s="104">
        <v>17697</v>
      </c>
      <c r="G30" s="76">
        <v>1.95</v>
      </c>
      <c r="H30" s="104">
        <f t="shared" si="0"/>
        <v>117676.20150000001</v>
      </c>
      <c r="I30" s="104"/>
      <c r="J30" s="104">
        <f t="shared" si="1"/>
        <v>117676.20150000001</v>
      </c>
      <c r="K30" s="104">
        <f t="shared" si="2"/>
        <v>11767.620150000002</v>
      </c>
      <c r="L30" s="104"/>
      <c r="M30" s="153"/>
      <c r="N30" s="153"/>
      <c r="O30" s="105"/>
      <c r="P30" s="153"/>
      <c r="Q30" s="105"/>
      <c r="R30" s="105"/>
      <c r="S30" s="105"/>
      <c r="T30" s="105"/>
      <c r="U30" s="105"/>
      <c r="V30" s="105"/>
      <c r="W30" s="105">
        <f t="shared" si="3"/>
        <v>129443.82165000001</v>
      </c>
      <c r="X30" s="105">
        <f t="shared" si="4"/>
        <v>1553.3258598000002</v>
      </c>
    </row>
    <row r="31" spans="1:24" s="147" customFormat="1" x14ac:dyDescent="0.25">
      <c r="A31" s="77">
        <v>20</v>
      </c>
      <c r="B31" s="142" t="s">
        <v>209</v>
      </c>
      <c r="C31" s="77">
        <v>1</v>
      </c>
      <c r="D31" s="77" t="s">
        <v>13</v>
      </c>
      <c r="E31" s="113">
        <v>4</v>
      </c>
      <c r="F31" s="104">
        <v>17697</v>
      </c>
      <c r="G31" s="76">
        <v>1.23</v>
      </c>
      <c r="H31" s="104">
        <f t="shared" si="0"/>
        <v>87069.24</v>
      </c>
      <c r="I31" s="104"/>
      <c r="J31" s="104">
        <f t="shared" si="1"/>
        <v>87069.24</v>
      </c>
      <c r="K31" s="104">
        <f t="shared" si="2"/>
        <v>8706.9240000000009</v>
      </c>
      <c r="L31" s="104"/>
      <c r="M31" s="153"/>
      <c r="N31" s="153"/>
      <c r="O31" s="105"/>
      <c r="P31" s="153"/>
      <c r="Q31" s="105"/>
      <c r="R31" s="105"/>
      <c r="S31" s="105"/>
      <c r="T31" s="105"/>
      <c r="U31" s="105"/>
      <c r="V31" s="105"/>
      <c r="W31" s="105">
        <f t="shared" si="3"/>
        <v>95776.164000000004</v>
      </c>
      <c r="X31" s="105">
        <f t="shared" si="4"/>
        <v>1149.3139680000002</v>
      </c>
    </row>
    <row r="32" spans="1:24" s="147" customFormat="1" x14ac:dyDescent="0.25">
      <c r="A32" s="77">
        <v>21</v>
      </c>
      <c r="B32" s="142" t="s">
        <v>209</v>
      </c>
      <c r="C32" s="77">
        <v>1</v>
      </c>
      <c r="D32" s="77" t="s">
        <v>13</v>
      </c>
      <c r="E32" s="113">
        <v>3.94</v>
      </c>
      <c r="F32" s="104">
        <v>17697</v>
      </c>
      <c r="G32" s="76">
        <v>1.23</v>
      </c>
      <c r="H32" s="104">
        <f t="shared" si="0"/>
        <v>85763.201399999991</v>
      </c>
      <c r="I32" s="104"/>
      <c r="J32" s="104">
        <f t="shared" si="1"/>
        <v>85763.201399999991</v>
      </c>
      <c r="K32" s="104">
        <f t="shared" si="2"/>
        <v>8576.3201399999998</v>
      </c>
      <c r="L32" s="104"/>
      <c r="M32" s="154"/>
      <c r="N32" s="153"/>
      <c r="O32" s="105"/>
      <c r="P32" s="153"/>
      <c r="Q32" s="105"/>
      <c r="R32" s="105"/>
      <c r="S32" s="105"/>
      <c r="T32" s="105"/>
      <c r="U32" s="105"/>
      <c r="V32" s="105"/>
      <c r="W32" s="105">
        <f t="shared" si="3"/>
        <v>94339.521539999987</v>
      </c>
      <c r="X32" s="105">
        <f t="shared" si="4"/>
        <v>1132.0742584799998</v>
      </c>
    </row>
    <row r="33" spans="1:24" s="147" customFormat="1" x14ac:dyDescent="0.25">
      <c r="A33" s="77">
        <v>22</v>
      </c>
      <c r="B33" s="142" t="s">
        <v>209</v>
      </c>
      <c r="C33" s="77">
        <v>1</v>
      </c>
      <c r="D33" s="77" t="s">
        <v>13</v>
      </c>
      <c r="E33" s="113">
        <v>3.94</v>
      </c>
      <c r="F33" s="104">
        <v>17697</v>
      </c>
      <c r="G33" s="76">
        <v>1.23</v>
      </c>
      <c r="H33" s="104">
        <f t="shared" si="0"/>
        <v>85763.201399999991</v>
      </c>
      <c r="I33" s="104"/>
      <c r="J33" s="104">
        <f t="shared" si="1"/>
        <v>85763.201399999991</v>
      </c>
      <c r="K33" s="104">
        <f t="shared" si="2"/>
        <v>8576.3201399999998</v>
      </c>
      <c r="L33" s="104"/>
      <c r="M33" s="153"/>
      <c r="N33" s="153"/>
      <c r="O33" s="105"/>
      <c r="P33" s="153"/>
      <c r="Q33" s="105"/>
      <c r="R33" s="105"/>
      <c r="S33" s="105"/>
      <c r="T33" s="105"/>
      <c r="U33" s="105"/>
      <c r="V33" s="105"/>
      <c r="W33" s="105">
        <f t="shared" si="3"/>
        <v>94339.521539999987</v>
      </c>
      <c r="X33" s="105">
        <f t="shared" si="4"/>
        <v>1132.0742584799998</v>
      </c>
    </row>
    <row r="34" spans="1:24" s="147" customFormat="1" x14ac:dyDescent="0.25">
      <c r="A34" s="77">
        <v>23</v>
      </c>
      <c r="B34" s="142" t="s">
        <v>209</v>
      </c>
      <c r="C34" s="77">
        <v>1</v>
      </c>
      <c r="D34" s="77" t="s">
        <v>13</v>
      </c>
      <c r="E34" s="113">
        <v>3.52</v>
      </c>
      <c r="F34" s="104">
        <v>17697</v>
      </c>
      <c r="G34" s="76">
        <v>1.23</v>
      </c>
      <c r="H34" s="104">
        <f t="shared" si="0"/>
        <v>76620.931200000006</v>
      </c>
      <c r="I34" s="104"/>
      <c r="J34" s="104">
        <f t="shared" si="1"/>
        <v>76620.931200000006</v>
      </c>
      <c r="K34" s="104">
        <f t="shared" si="2"/>
        <v>7662.0931200000014</v>
      </c>
      <c r="L34" s="104"/>
      <c r="M34" s="153"/>
      <c r="N34" s="153"/>
      <c r="O34" s="105"/>
      <c r="P34" s="153"/>
      <c r="Q34" s="105"/>
      <c r="R34" s="105"/>
      <c r="S34" s="105"/>
      <c r="T34" s="105"/>
      <c r="U34" s="105"/>
      <c r="V34" s="105"/>
      <c r="W34" s="105">
        <f t="shared" si="3"/>
        <v>84283.024320000011</v>
      </c>
      <c r="X34" s="105">
        <f t="shared" si="4"/>
        <v>1011.3962918400001</v>
      </c>
    </row>
    <row r="35" spans="1:24" s="147" customFormat="1" x14ac:dyDescent="0.25">
      <c r="A35" s="77">
        <v>24</v>
      </c>
      <c r="B35" s="143" t="s">
        <v>209</v>
      </c>
      <c r="C35" s="77">
        <v>1</v>
      </c>
      <c r="D35" s="77" t="s">
        <v>13</v>
      </c>
      <c r="E35" s="113">
        <v>3.85</v>
      </c>
      <c r="F35" s="104">
        <v>17697</v>
      </c>
      <c r="G35" s="76">
        <v>1.23</v>
      </c>
      <c r="H35" s="104">
        <f t="shared" si="0"/>
        <v>83804.143499999991</v>
      </c>
      <c r="I35" s="104"/>
      <c r="J35" s="104">
        <f t="shared" si="1"/>
        <v>83804.143499999991</v>
      </c>
      <c r="K35" s="104">
        <f t="shared" si="2"/>
        <v>8380.4143499999991</v>
      </c>
      <c r="L35" s="104"/>
      <c r="M35" s="153"/>
      <c r="N35" s="153"/>
      <c r="O35" s="105"/>
      <c r="P35" s="153"/>
      <c r="Q35" s="105"/>
      <c r="R35" s="105"/>
      <c r="S35" s="105"/>
      <c r="T35" s="105"/>
      <c r="U35" s="105"/>
      <c r="V35" s="105"/>
      <c r="W35" s="105">
        <f t="shared" si="3"/>
        <v>92184.557849999983</v>
      </c>
      <c r="X35" s="105">
        <f t="shared" si="4"/>
        <v>1106.2146941999997</v>
      </c>
    </row>
    <row r="36" spans="1:24" s="147" customFormat="1" x14ac:dyDescent="0.25">
      <c r="A36" s="77">
        <v>25</v>
      </c>
      <c r="B36" s="142" t="s">
        <v>209</v>
      </c>
      <c r="C36" s="77">
        <v>1</v>
      </c>
      <c r="D36" s="77" t="s">
        <v>13</v>
      </c>
      <c r="E36" s="113">
        <v>3.94</v>
      </c>
      <c r="F36" s="104">
        <v>17697</v>
      </c>
      <c r="G36" s="76">
        <v>1.23</v>
      </c>
      <c r="H36" s="104">
        <f t="shared" si="0"/>
        <v>85763.201399999991</v>
      </c>
      <c r="I36" s="104"/>
      <c r="J36" s="104">
        <f t="shared" si="1"/>
        <v>85763.201399999991</v>
      </c>
      <c r="K36" s="104">
        <f t="shared" si="2"/>
        <v>8576.3201399999998</v>
      </c>
      <c r="L36" s="104"/>
      <c r="M36" s="153"/>
      <c r="N36" s="153"/>
      <c r="O36" s="105"/>
      <c r="P36" s="153"/>
      <c r="Q36" s="105"/>
      <c r="R36" s="105"/>
      <c r="S36" s="105"/>
      <c r="T36" s="105"/>
      <c r="U36" s="105"/>
      <c r="V36" s="105"/>
      <c r="W36" s="105">
        <f t="shared" si="3"/>
        <v>94339.521539999987</v>
      </c>
      <c r="X36" s="105">
        <f t="shared" si="4"/>
        <v>1132.0742584799998</v>
      </c>
    </row>
    <row r="37" spans="1:24" s="147" customFormat="1" x14ac:dyDescent="0.25">
      <c r="A37" s="77">
        <v>26</v>
      </c>
      <c r="B37" s="142" t="s">
        <v>216</v>
      </c>
      <c r="C37" s="77">
        <v>1</v>
      </c>
      <c r="D37" s="77" t="s">
        <v>12</v>
      </c>
      <c r="E37" s="113">
        <v>5.31</v>
      </c>
      <c r="F37" s="104">
        <v>17697</v>
      </c>
      <c r="G37" s="76">
        <v>1.75</v>
      </c>
      <c r="H37" s="104">
        <f t="shared" si="0"/>
        <v>164449.3725</v>
      </c>
      <c r="I37" s="104"/>
      <c r="J37" s="104">
        <f t="shared" si="1"/>
        <v>164449.3725</v>
      </c>
      <c r="K37" s="104">
        <f t="shared" si="2"/>
        <v>16444.937249999999</v>
      </c>
      <c r="L37" s="104"/>
      <c r="M37" s="153"/>
      <c r="N37" s="153"/>
      <c r="O37" s="105"/>
      <c r="P37" s="153"/>
      <c r="Q37" s="105"/>
      <c r="R37" s="105"/>
      <c r="S37" s="105"/>
      <c r="T37" s="105"/>
      <c r="U37" s="105"/>
      <c r="V37" s="105"/>
      <c r="W37" s="105">
        <f t="shared" si="3"/>
        <v>180894.30974999999</v>
      </c>
      <c r="X37" s="105">
        <f t="shared" si="4"/>
        <v>2170.7317169999997</v>
      </c>
    </row>
    <row r="38" spans="1:24" s="147" customFormat="1" ht="26" x14ac:dyDescent="0.25">
      <c r="A38" s="77">
        <v>27</v>
      </c>
      <c r="B38" s="142" t="s">
        <v>218</v>
      </c>
      <c r="C38" s="77">
        <v>0.5</v>
      </c>
      <c r="D38" s="77" t="s">
        <v>12</v>
      </c>
      <c r="E38" s="113">
        <v>5.31</v>
      </c>
      <c r="F38" s="104">
        <v>17697</v>
      </c>
      <c r="G38" s="76">
        <v>1.23</v>
      </c>
      <c r="H38" s="104">
        <f t="shared" si="0"/>
        <v>57792.208049999994</v>
      </c>
      <c r="I38" s="104"/>
      <c r="J38" s="104">
        <f t="shared" si="1"/>
        <v>57792.208049999994</v>
      </c>
      <c r="K38" s="104">
        <f t="shared" si="2"/>
        <v>5779.2208049999999</v>
      </c>
      <c r="L38" s="104"/>
      <c r="M38" s="153"/>
      <c r="N38" s="153"/>
      <c r="O38" s="105"/>
      <c r="P38" s="153"/>
      <c r="Q38" s="105"/>
      <c r="R38" s="105"/>
      <c r="S38" s="105"/>
      <c r="T38" s="105"/>
      <c r="U38" s="105"/>
      <c r="V38" s="105"/>
      <c r="W38" s="105">
        <f t="shared" si="3"/>
        <v>63571.428854999991</v>
      </c>
      <c r="X38" s="105">
        <f t="shared" si="4"/>
        <v>762.85714625999981</v>
      </c>
    </row>
    <row r="39" spans="1:24" s="147" customFormat="1" ht="26" x14ac:dyDescent="0.25">
      <c r="A39" s="77">
        <v>28</v>
      </c>
      <c r="B39" s="142" t="s">
        <v>218</v>
      </c>
      <c r="C39" s="77">
        <v>0.5</v>
      </c>
      <c r="D39" s="77" t="s">
        <v>12</v>
      </c>
      <c r="E39" s="113">
        <v>4.8600000000000003</v>
      </c>
      <c r="F39" s="104">
        <v>17697</v>
      </c>
      <c r="G39" s="76">
        <v>1.23</v>
      </c>
      <c r="H39" s="104">
        <f t="shared" si="0"/>
        <v>52894.563300000009</v>
      </c>
      <c r="I39" s="104"/>
      <c r="J39" s="104">
        <f t="shared" si="1"/>
        <v>52894.563300000009</v>
      </c>
      <c r="K39" s="104">
        <f t="shared" si="2"/>
        <v>5289.4563300000009</v>
      </c>
      <c r="L39" s="104"/>
      <c r="M39" s="153"/>
      <c r="N39" s="153"/>
      <c r="O39" s="105"/>
      <c r="P39" s="153"/>
      <c r="Q39" s="105"/>
      <c r="R39" s="105"/>
      <c r="S39" s="105"/>
      <c r="T39" s="105"/>
      <c r="U39" s="105"/>
      <c r="V39" s="105"/>
      <c r="W39" s="105">
        <f t="shared" si="3"/>
        <v>58184.01963000001</v>
      </c>
      <c r="X39" s="105">
        <f t="shared" si="4"/>
        <v>698.20823556000016</v>
      </c>
    </row>
    <row r="40" spans="1:24" s="147" customFormat="1" x14ac:dyDescent="0.25">
      <c r="A40" s="77">
        <v>29</v>
      </c>
      <c r="B40" s="142" t="s">
        <v>220</v>
      </c>
      <c r="C40" s="77">
        <v>1</v>
      </c>
      <c r="D40" s="77" t="s">
        <v>11</v>
      </c>
      <c r="E40" s="113">
        <v>4.46</v>
      </c>
      <c r="F40" s="104">
        <v>17697</v>
      </c>
      <c r="G40" s="76">
        <v>1.23</v>
      </c>
      <c r="H40" s="104">
        <f t="shared" si="0"/>
        <v>97082.20259999999</v>
      </c>
      <c r="I40" s="104"/>
      <c r="J40" s="104">
        <f t="shared" si="1"/>
        <v>97082.20259999999</v>
      </c>
      <c r="K40" s="104">
        <f t="shared" si="2"/>
        <v>9708.2202600000001</v>
      </c>
      <c r="L40" s="104"/>
      <c r="M40" s="153">
        <f>17697*30%</f>
        <v>5309.0999999999995</v>
      </c>
      <c r="N40" s="153"/>
      <c r="O40" s="105"/>
      <c r="P40" s="153"/>
      <c r="Q40" s="105"/>
      <c r="R40" s="105"/>
      <c r="S40" s="105"/>
      <c r="T40" s="105"/>
      <c r="U40" s="105"/>
      <c r="V40" s="105"/>
      <c r="W40" s="105">
        <f t="shared" si="3"/>
        <v>112099.52286</v>
      </c>
      <c r="X40" s="105">
        <f t="shared" si="4"/>
        <v>1345.1942743199997</v>
      </c>
    </row>
    <row r="41" spans="1:24" s="147" customFormat="1" ht="26" x14ac:dyDescent="0.25">
      <c r="A41" s="77">
        <v>30</v>
      </c>
      <c r="B41" s="143" t="s">
        <v>222</v>
      </c>
      <c r="C41" s="77">
        <v>1</v>
      </c>
      <c r="D41" s="77" t="s">
        <v>11</v>
      </c>
      <c r="E41" s="113">
        <v>4.2300000000000004</v>
      </c>
      <c r="F41" s="104">
        <v>17697</v>
      </c>
      <c r="G41" s="76">
        <v>1.23</v>
      </c>
      <c r="H41" s="104">
        <f t="shared" si="0"/>
        <v>92075.721300000019</v>
      </c>
      <c r="I41" s="104"/>
      <c r="J41" s="104">
        <f t="shared" si="1"/>
        <v>92075.721300000019</v>
      </c>
      <c r="K41" s="104">
        <f t="shared" si="2"/>
        <v>9207.5721300000023</v>
      </c>
      <c r="L41" s="104"/>
      <c r="M41" s="153"/>
      <c r="N41" s="153"/>
      <c r="O41" s="105"/>
      <c r="P41" s="153"/>
      <c r="Q41" s="105"/>
      <c r="R41" s="105"/>
      <c r="S41" s="105"/>
      <c r="T41" s="105"/>
      <c r="U41" s="105"/>
      <c r="V41" s="105"/>
      <c r="W41" s="105">
        <f t="shared" si="3"/>
        <v>101283.29343000002</v>
      </c>
      <c r="X41" s="105">
        <f t="shared" si="4"/>
        <v>1215.3995211600002</v>
      </c>
    </row>
    <row r="42" spans="1:24" s="147" customFormat="1" x14ac:dyDescent="0.25">
      <c r="A42" s="77">
        <v>31</v>
      </c>
      <c r="B42" s="142" t="s">
        <v>224</v>
      </c>
      <c r="C42" s="77">
        <v>1</v>
      </c>
      <c r="D42" s="77" t="s">
        <v>11</v>
      </c>
      <c r="E42" s="113">
        <v>4.46</v>
      </c>
      <c r="F42" s="104">
        <v>17697</v>
      </c>
      <c r="G42" s="76">
        <v>1.23</v>
      </c>
      <c r="H42" s="104">
        <f t="shared" si="0"/>
        <v>97082.20259999999</v>
      </c>
      <c r="I42" s="104"/>
      <c r="J42" s="104">
        <f t="shared" si="1"/>
        <v>97082.20259999999</v>
      </c>
      <c r="K42" s="104">
        <f t="shared" si="2"/>
        <v>9708.2202600000001</v>
      </c>
      <c r="L42" s="104"/>
      <c r="M42" s="153"/>
      <c r="N42" s="153"/>
      <c r="O42" s="105"/>
      <c r="P42" s="153"/>
      <c r="Q42" s="105"/>
      <c r="R42" s="105"/>
      <c r="S42" s="105"/>
      <c r="T42" s="105"/>
      <c r="U42" s="105"/>
      <c r="V42" s="105"/>
      <c r="W42" s="105">
        <f t="shared" si="3"/>
        <v>106790.42285999999</v>
      </c>
      <c r="X42" s="105">
        <f t="shared" si="4"/>
        <v>1281.48507432</v>
      </c>
    </row>
    <row r="43" spans="1:24" s="147" customFormat="1" ht="26" x14ac:dyDescent="0.25">
      <c r="A43" s="77">
        <v>32</v>
      </c>
      <c r="B43" s="142" t="s">
        <v>226</v>
      </c>
      <c r="C43" s="77">
        <v>1</v>
      </c>
      <c r="D43" s="77" t="s">
        <v>321</v>
      </c>
      <c r="E43" s="113">
        <v>4.46</v>
      </c>
      <c r="F43" s="104">
        <v>17697</v>
      </c>
      <c r="G43" s="76">
        <v>1.23</v>
      </c>
      <c r="H43" s="104">
        <f t="shared" si="0"/>
        <v>97082.20259999999</v>
      </c>
      <c r="I43" s="104"/>
      <c r="J43" s="104">
        <f t="shared" si="1"/>
        <v>97082.20259999999</v>
      </c>
      <c r="K43" s="104">
        <f t="shared" si="2"/>
        <v>9708.2202600000001</v>
      </c>
      <c r="L43" s="104"/>
      <c r="M43" s="153"/>
      <c r="N43" s="153"/>
      <c r="O43" s="105"/>
      <c r="P43" s="153"/>
      <c r="Q43" s="105"/>
      <c r="R43" s="105"/>
      <c r="S43" s="105"/>
      <c r="T43" s="105"/>
      <c r="U43" s="105"/>
      <c r="V43" s="105"/>
      <c r="W43" s="105">
        <f t="shared" si="3"/>
        <v>106790.42285999999</v>
      </c>
      <c r="X43" s="105">
        <f t="shared" si="4"/>
        <v>1281.48507432</v>
      </c>
    </row>
    <row r="44" spans="1:24" s="147" customFormat="1" x14ac:dyDescent="0.25">
      <c r="A44" s="77">
        <v>33</v>
      </c>
      <c r="B44" s="142" t="s">
        <v>228</v>
      </c>
      <c r="C44" s="77">
        <v>0.5</v>
      </c>
      <c r="D44" s="141" t="s">
        <v>14</v>
      </c>
      <c r="E44" s="114">
        <v>3.16</v>
      </c>
      <c r="F44" s="104">
        <v>17697</v>
      </c>
      <c r="G44" s="76">
        <v>1.23</v>
      </c>
      <c r="H44" s="104">
        <f t="shared" si="0"/>
        <v>34392.349800000004</v>
      </c>
      <c r="I44" s="104"/>
      <c r="J44" s="104">
        <f t="shared" si="1"/>
        <v>34392.349800000004</v>
      </c>
      <c r="K44" s="104">
        <f t="shared" si="2"/>
        <v>3439.2349800000006</v>
      </c>
      <c r="L44" s="104"/>
      <c r="M44" s="153"/>
      <c r="N44" s="153"/>
      <c r="O44" s="105"/>
      <c r="P44" s="153"/>
      <c r="Q44" s="105"/>
      <c r="R44" s="105"/>
      <c r="S44" s="105"/>
      <c r="T44" s="105"/>
      <c r="U44" s="105"/>
      <c r="V44" s="105"/>
      <c r="W44" s="105">
        <f t="shared" si="3"/>
        <v>37831.584780000005</v>
      </c>
      <c r="X44" s="105">
        <f t="shared" si="4"/>
        <v>453.97901736000006</v>
      </c>
    </row>
    <row r="45" spans="1:24" s="147" customFormat="1" x14ac:dyDescent="0.25">
      <c r="A45" s="77">
        <v>34</v>
      </c>
      <c r="B45" s="142" t="s">
        <v>228</v>
      </c>
      <c r="C45" s="77">
        <v>0.5</v>
      </c>
      <c r="D45" s="77" t="s">
        <v>14</v>
      </c>
      <c r="E45" s="113">
        <v>3.12</v>
      </c>
      <c r="F45" s="104">
        <v>17697</v>
      </c>
      <c r="G45" s="76">
        <v>1.23</v>
      </c>
      <c r="H45" s="104">
        <f t="shared" si="0"/>
        <v>33957.003599999996</v>
      </c>
      <c r="I45" s="104"/>
      <c r="J45" s="104">
        <f t="shared" si="1"/>
        <v>33957.003599999996</v>
      </c>
      <c r="K45" s="104">
        <f t="shared" si="2"/>
        <v>3395.7003599999998</v>
      </c>
      <c r="L45" s="104"/>
      <c r="M45" s="153"/>
      <c r="N45" s="153"/>
      <c r="O45" s="105"/>
      <c r="P45" s="153"/>
      <c r="Q45" s="105"/>
      <c r="R45" s="105"/>
      <c r="S45" s="105"/>
      <c r="T45" s="105"/>
      <c r="U45" s="105"/>
      <c r="V45" s="105"/>
      <c r="W45" s="105">
        <f t="shared" si="3"/>
        <v>37352.703959999999</v>
      </c>
      <c r="X45" s="105">
        <f t="shared" si="4"/>
        <v>448.23244751999999</v>
      </c>
    </row>
    <row r="46" spans="1:24" s="147" customFormat="1" ht="26" x14ac:dyDescent="0.25">
      <c r="A46" s="77">
        <v>35</v>
      </c>
      <c r="B46" s="142" t="s">
        <v>230</v>
      </c>
      <c r="C46" s="77">
        <v>1</v>
      </c>
      <c r="D46" s="77" t="s">
        <v>14</v>
      </c>
      <c r="E46" s="113">
        <v>3.16</v>
      </c>
      <c r="F46" s="104">
        <v>17697</v>
      </c>
      <c r="G46" s="76">
        <v>1.23</v>
      </c>
      <c r="H46" s="104">
        <f t="shared" si="0"/>
        <v>68784.699600000007</v>
      </c>
      <c r="I46" s="104"/>
      <c r="J46" s="104">
        <f t="shared" si="1"/>
        <v>68784.699600000007</v>
      </c>
      <c r="K46" s="104">
        <f t="shared" si="2"/>
        <v>6878.4699600000013</v>
      </c>
      <c r="L46" s="104"/>
      <c r="M46" s="153"/>
      <c r="N46" s="153"/>
      <c r="O46" s="105"/>
      <c r="P46" s="153"/>
      <c r="Q46" s="105"/>
      <c r="R46" s="105"/>
      <c r="S46" s="105"/>
      <c r="T46" s="105"/>
      <c r="U46" s="105"/>
      <c r="V46" s="105"/>
      <c r="W46" s="105">
        <f t="shared" si="3"/>
        <v>75663.169560000009</v>
      </c>
      <c r="X46" s="105">
        <f t="shared" si="4"/>
        <v>907.95803472000011</v>
      </c>
    </row>
    <row r="47" spans="1:24" s="147" customFormat="1" x14ac:dyDescent="0.25">
      <c r="A47" s="77">
        <v>36</v>
      </c>
      <c r="B47" s="142" t="s">
        <v>232</v>
      </c>
      <c r="C47" s="77">
        <v>1</v>
      </c>
      <c r="D47" s="77" t="s">
        <v>326</v>
      </c>
      <c r="E47" s="113">
        <v>4.75</v>
      </c>
      <c r="F47" s="104">
        <v>17697</v>
      </c>
      <c r="G47" s="76">
        <v>1.75</v>
      </c>
      <c r="H47" s="104">
        <f t="shared" si="0"/>
        <v>147106.3125</v>
      </c>
      <c r="I47" s="104"/>
      <c r="J47" s="104">
        <f t="shared" si="1"/>
        <v>147106.3125</v>
      </c>
      <c r="K47" s="104">
        <f t="shared" si="2"/>
        <v>14710.63125</v>
      </c>
      <c r="L47" s="104"/>
      <c r="M47" s="153"/>
      <c r="N47" s="153"/>
      <c r="O47" s="105"/>
      <c r="P47" s="153"/>
      <c r="Q47" s="105"/>
      <c r="R47" s="105"/>
      <c r="S47" s="105"/>
      <c r="T47" s="105">
        <f>J47*40%</f>
        <v>58842.525000000001</v>
      </c>
      <c r="U47" s="105"/>
      <c r="V47" s="105"/>
      <c r="W47" s="105">
        <f t="shared" si="3"/>
        <v>220659.46875</v>
      </c>
      <c r="X47" s="105">
        <f t="shared" si="4"/>
        <v>2647.9136250000001</v>
      </c>
    </row>
    <row r="48" spans="1:24" s="147" customFormat="1" x14ac:dyDescent="0.25">
      <c r="A48" s="77">
        <v>37</v>
      </c>
      <c r="B48" s="142" t="s">
        <v>232</v>
      </c>
      <c r="C48" s="77">
        <v>1</v>
      </c>
      <c r="D48" s="77" t="s">
        <v>326</v>
      </c>
      <c r="E48" s="113">
        <v>4.75</v>
      </c>
      <c r="F48" s="104">
        <v>17697</v>
      </c>
      <c r="G48" s="76">
        <v>1.75</v>
      </c>
      <c r="H48" s="104">
        <f t="shared" si="0"/>
        <v>147106.3125</v>
      </c>
      <c r="I48" s="104"/>
      <c r="J48" s="104">
        <f t="shared" si="1"/>
        <v>147106.3125</v>
      </c>
      <c r="K48" s="104">
        <f t="shared" si="2"/>
        <v>14710.63125</v>
      </c>
      <c r="L48" s="104"/>
      <c r="M48" s="153"/>
      <c r="N48" s="153"/>
      <c r="O48" s="105"/>
      <c r="P48" s="153"/>
      <c r="Q48" s="105"/>
      <c r="R48" s="105"/>
      <c r="S48" s="105"/>
      <c r="T48" s="105"/>
      <c r="U48" s="105"/>
      <c r="V48" s="105"/>
      <c r="W48" s="105">
        <f t="shared" si="3"/>
        <v>161816.94375000001</v>
      </c>
      <c r="X48" s="105">
        <f t="shared" si="4"/>
        <v>1941.8033250000001</v>
      </c>
    </row>
    <row r="49" spans="1:24" s="147" customFormat="1" x14ac:dyDescent="0.25">
      <c r="A49" s="77">
        <v>38</v>
      </c>
      <c r="B49" s="142" t="s">
        <v>232</v>
      </c>
      <c r="C49" s="77">
        <v>1</v>
      </c>
      <c r="D49" s="103" t="s">
        <v>326</v>
      </c>
      <c r="E49" s="157">
        <v>4.62</v>
      </c>
      <c r="F49" s="104">
        <v>17697</v>
      </c>
      <c r="G49" s="76">
        <v>1.75</v>
      </c>
      <c r="H49" s="104">
        <f t="shared" si="0"/>
        <v>143080.245</v>
      </c>
      <c r="I49" s="104"/>
      <c r="J49" s="104">
        <f t="shared" si="1"/>
        <v>143080.245</v>
      </c>
      <c r="K49" s="104">
        <f t="shared" si="2"/>
        <v>14308.0245</v>
      </c>
      <c r="L49" s="104"/>
      <c r="M49" s="153"/>
      <c r="N49" s="153"/>
      <c r="O49" s="105"/>
      <c r="P49" s="153"/>
      <c r="Q49" s="105"/>
      <c r="R49" s="105"/>
      <c r="S49" s="105"/>
      <c r="T49" s="105"/>
      <c r="U49" s="105"/>
      <c r="V49" s="105"/>
      <c r="W49" s="105">
        <f t="shared" si="3"/>
        <v>157388.26949999999</v>
      </c>
      <c r="X49" s="105">
        <f t="shared" si="4"/>
        <v>1888.659234</v>
      </c>
    </row>
    <row r="50" spans="1:24" s="147" customFormat="1" x14ac:dyDescent="0.25">
      <c r="A50" s="77">
        <v>39</v>
      </c>
      <c r="B50" s="142" t="s">
        <v>232</v>
      </c>
      <c r="C50" s="77">
        <v>1</v>
      </c>
      <c r="D50" s="77" t="s">
        <v>326</v>
      </c>
      <c r="E50" s="113">
        <v>4.62</v>
      </c>
      <c r="F50" s="104">
        <v>17697</v>
      </c>
      <c r="G50" s="76">
        <v>1.75</v>
      </c>
      <c r="H50" s="104">
        <f t="shared" si="0"/>
        <v>143080.245</v>
      </c>
      <c r="I50" s="104"/>
      <c r="J50" s="104">
        <f t="shared" si="1"/>
        <v>143080.245</v>
      </c>
      <c r="K50" s="104">
        <f t="shared" si="2"/>
        <v>14308.0245</v>
      </c>
      <c r="L50" s="104"/>
      <c r="M50" s="153"/>
      <c r="N50" s="153"/>
      <c r="O50" s="105"/>
      <c r="P50" s="153"/>
      <c r="Q50" s="105"/>
      <c r="R50" s="105"/>
      <c r="S50" s="105"/>
      <c r="T50" s="105"/>
      <c r="U50" s="105"/>
      <c r="V50" s="105"/>
      <c r="W50" s="105">
        <f t="shared" si="3"/>
        <v>157388.26949999999</v>
      </c>
      <c r="X50" s="105">
        <f t="shared" si="4"/>
        <v>1888.659234</v>
      </c>
    </row>
    <row r="51" spans="1:24" s="147" customFormat="1" x14ac:dyDescent="0.25">
      <c r="A51" s="77">
        <v>40</v>
      </c>
      <c r="B51" s="142" t="s">
        <v>232</v>
      </c>
      <c r="C51" s="77">
        <v>1</v>
      </c>
      <c r="D51" s="77" t="s">
        <v>326</v>
      </c>
      <c r="E51" s="113">
        <v>4.55</v>
      </c>
      <c r="F51" s="104">
        <v>17697</v>
      </c>
      <c r="G51" s="76">
        <v>1.75</v>
      </c>
      <c r="H51" s="104">
        <f t="shared" si="0"/>
        <v>140912.36249999999</v>
      </c>
      <c r="I51" s="104"/>
      <c r="J51" s="104">
        <f t="shared" si="1"/>
        <v>140912.36249999999</v>
      </c>
      <c r="K51" s="104">
        <f t="shared" si="2"/>
        <v>14091.23625</v>
      </c>
      <c r="L51" s="104"/>
      <c r="M51" s="153"/>
      <c r="N51" s="153"/>
      <c r="O51" s="105"/>
      <c r="P51" s="153"/>
      <c r="Q51" s="105"/>
      <c r="R51" s="105"/>
      <c r="S51" s="105"/>
      <c r="T51" s="105">
        <f>J51*40%</f>
        <v>56364.945</v>
      </c>
      <c r="U51" s="105"/>
      <c r="V51" s="105"/>
      <c r="W51" s="105">
        <f t="shared" si="3"/>
        <v>211368.54374999998</v>
      </c>
      <c r="X51" s="105">
        <f t="shared" si="4"/>
        <v>2536.422525</v>
      </c>
    </row>
    <row r="52" spans="1:24" s="147" customFormat="1" x14ac:dyDescent="0.25">
      <c r="A52" s="77">
        <v>41</v>
      </c>
      <c r="B52" s="142" t="s">
        <v>232</v>
      </c>
      <c r="C52" s="77">
        <v>1</v>
      </c>
      <c r="D52" s="77" t="s">
        <v>326</v>
      </c>
      <c r="E52" s="113">
        <v>4.6900000000000004</v>
      </c>
      <c r="F52" s="104">
        <v>17697</v>
      </c>
      <c r="G52" s="76">
        <v>1.75</v>
      </c>
      <c r="H52" s="104">
        <f t="shared" si="0"/>
        <v>145248.1275</v>
      </c>
      <c r="I52" s="104"/>
      <c r="J52" s="104">
        <f t="shared" si="1"/>
        <v>145248.1275</v>
      </c>
      <c r="K52" s="104">
        <f t="shared" si="2"/>
        <v>14524.812750000001</v>
      </c>
      <c r="L52" s="104"/>
      <c r="M52" s="153"/>
      <c r="N52" s="153"/>
      <c r="O52" s="105"/>
      <c r="P52" s="153"/>
      <c r="Q52" s="105"/>
      <c r="R52" s="105"/>
      <c r="S52" s="105"/>
      <c r="T52" s="105">
        <f>J52*40%</f>
        <v>58099.251000000004</v>
      </c>
      <c r="U52" s="105"/>
      <c r="V52" s="105"/>
      <c r="W52" s="105">
        <f t="shared" si="3"/>
        <v>217872.19125000003</v>
      </c>
      <c r="X52" s="105">
        <f t="shared" si="4"/>
        <v>2614.4662950000002</v>
      </c>
    </row>
    <row r="53" spans="1:24" s="147" customFormat="1" x14ac:dyDescent="0.25">
      <c r="A53" s="77">
        <v>42</v>
      </c>
      <c r="B53" s="142" t="s">
        <v>232</v>
      </c>
      <c r="C53" s="77">
        <v>1</v>
      </c>
      <c r="D53" s="77" t="s">
        <v>326</v>
      </c>
      <c r="E53" s="113">
        <v>4.62</v>
      </c>
      <c r="F53" s="104">
        <v>17697</v>
      </c>
      <c r="G53" s="76">
        <v>1.75</v>
      </c>
      <c r="H53" s="104">
        <f t="shared" si="0"/>
        <v>143080.245</v>
      </c>
      <c r="I53" s="104"/>
      <c r="J53" s="104">
        <f t="shared" si="1"/>
        <v>143080.245</v>
      </c>
      <c r="K53" s="104">
        <f t="shared" si="2"/>
        <v>14308.0245</v>
      </c>
      <c r="L53" s="104"/>
      <c r="M53" s="153"/>
      <c r="N53" s="153"/>
      <c r="O53" s="105"/>
      <c r="P53" s="153"/>
      <c r="Q53" s="105"/>
      <c r="R53" s="105"/>
      <c r="S53" s="105"/>
      <c r="T53" s="105">
        <f>J53*40%</f>
        <v>57232.097999999998</v>
      </c>
      <c r="U53" s="105"/>
      <c r="V53" s="105"/>
      <c r="W53" s="105">
        <f t="shared" si="3"/>
        <v>214620.36749999999</v>
      </c>
      <c r="X53" s="105">
        <f t="shared" si="4"/>
        <v>2575.4444100000001</v>
      </c>
    </row>
    <row r="54" spans="1:24" s="147" customFormat="1" x14ac:dyDescent="0.25">
      <c r="A54" s="77">
        <v>43</v>
      </c>
      <c r="B54" s="142" t="s">
        <v>232</v>
      </c>
      <c r="C54" s="77">
        <v>1</v>
      </c>
      <c r="D54" s="77" t="s">
        <v>326</v>
      </c>
      <c r="E54" s="113">
        <v>4.62</v>
      </c>
      <c r="F54" s="104">
        <v>17697</v>
      </c>
      <c r="G54" s="76">
        <v>1.75</v>
      </c>
      <c r="H54" s="104">
        <f t="shared" si="0"/>
        <v>143080.245</v>
      </c>
      <c r="I54" s="104"/>
      <c r="J54" s="104">
        <f t="shared" si="1"/>
        <v>143080.245</v>
      </c>
      <c r="K54" s="104">
        <f t="shared" si="2"/>
        <v>14308.0245</v>
      </c>
      <c r="L54" s="104"/>
      <c r="M54" s="153"/>
      <c r="N54" s="153"/>
      <c r="O54" s="105"/>
      <c r="P54" s="153"/>
      <c r="Q54" s="105"/>
      <c r="R54" s="105"/>
      <c r="S54" s="105"/>
      <c r="T54" s="105">
        <f>J54*40%</f>
        <v>57232.097999999998</v>
      </c>
      <c r="U54" s="105"/>
      <c r="V54" s="105"/>
      <c r="W54" s="105">
        <f t="shared" si="3"/>
        <v>214620.36749999999</v>
      </c>
      <c r="X54" s="105">
        <f t="shared" si="4"/>
        <v>2575.4444100000001</v>
      </c>
    </row>
    <row r="55" spans="1:24" s="147" customFormat="1" x14ac:dyDescent="0.25">
      <c r="A55" s="77">
        <v>44</v>
      </c>
      <c r="B55" s="142" t="s">
        <v>232</v>
      </c>
      <c r="C55" s="77">
        <v>1</v>
      </c>
      <c r="D55" s="77" t="s">
        <v>327</v>
      </c>
      <c r="E55" s="113">
        <v>4.37</v>
      </c>
      <c r="F55" s="104">
        <v>17697</v>
      </c>
      <c r="G55" s="76">
        <v>1.75</v>
      </c>
      <c r="H55" s="104">
        <f t="shared" si="0"/>
        <v>135337.8075</v>
      </c>
      <c r="I55" s="104"/>
      <c r="J55" s="104">
        <f t="shared" si="1"/>
        <v>135337.8075</v>
      </c>
      <c r="K55" s="104">
        <f t="shared" si="2"/>
        <v>13533.78075</v>
      </c>
      <c r="L55" s="104"/>
      <c r="M55" s="153"/>
      <c r="N55" s="153"/>
      <c r="O55" s="105"/>
      <c r="P55" s="153"/>
      <c r="Q55" s="105"/>
      <c r="R55" s="105"/>
      <c r="S55" s="105"/>
      <c r="T55" s="105"/>
      <c r="U55" s="105"/>
      <c r="V55" s="105"/>
      <c r="W55" s="105">
        <f t="shared" si="3"/>
        <v>148871.58825</v>
      </c>
      <c r="X55" s="105">
        <f t="shared" si="4"/>
        <v>1786.4590589999998</v>
      </c>
    </row>
    <row r="56" spans="1:24" s="147" customFormat="1" x14ac:dyDescent="0.25">
      <c r="A56" s="77">
        <v>45</v>
      </c>
      <c r="B56" s="142" t="s">
        <v>232</v>
      </c>
      <c r="C56" s="77">
        <v>1</v>
      </c>
      <c r="D56" s="77" t="s">
        <v>326</v>
      </c>
      <c r="E56" s="113">
        <v>4.62</v>
      </c>
      <c r="F56" s="104">
        <v>17697</v>
      </c>
      <c r="G56" s="76">
        <v>1.75</v>
      </c>
      <c r="H56" s="104">
        <f t="shared" si="0"/>
        <v>143080.245</v>
      </c>
      <c r="I56" s="104"/>
      <c r="J56" s="104">
        <f t="shared" si="1"/>
        <v>143080.245</v>
      </c>
      <c r="K56" s="104">
        <f t="shared" si="2"/>
        <v>14308.0245</v>
      </c>
      <c r="L56" s="104"/>
      <c r="M56" s="153"/>
      <c r="N56" s="153"/>
      <c r="O56" s="105"/>
      <c r="P56" s="153"/>
      <c r="Q56" s="105"/>
      <c r="R56" s="105"/>
      <c r="S56" s="105"/>
      <c r="T56" s="105">
        <f>J56*40%</f>
        <v>57232.097999999998</v>
      </c>
      <c r="U56" s="105"/>
      <c r="V56" s="105"/>
      <c r="W56" s="105">
        <f t="shared" si="3"/>
        <v>214620.36749999999</v>
      </c>
      <c r="X56" s="105">
        <f t="shared" si="4"/>
        <v>2575.4444100000001</v>
      </c>
    </row>
    <row r="57" spans="1:24" s="147" customFormat="1" x14ac:dyDescent="0.25">
      <c r="A57" s="77">
        <v>46</v>
      </c>
      <c r="B57" s="142" t="s">
        <v>232</v>
      </c>
      <c r="C57" s="77">
        <v>1</v>
      </c>
      <c r="D57" s="77" t="s">
        <v>326</v>
      </c>
      <c r="E57" s="113">
        <v>4.62</v>
      </c>
      <c r="F57" s="104">
        <v>17697</v>
      </c>
      <c r="G57" s="76">
        <v>1.75</v>
      </c>
      <c r="H57" s="104">
        <f t="shared" si="0"/>
        <v>143080.245</v>
      </c>
      <c r="I57" s="104"/>
      <c r="J57" s="104">
        <f t="shared" si="1"/>
        <v>143080.245</v>
      </c>
      <c r="K57" s="104">
        <f t="shared" si="2"/>
        <v>14308.0245</v>
      </c>
      <c r="L57" s="104"/>
      <c r="M57" s="153"/>
      <c r="N57" s="153"/>
      <c r="O57" s="105"/>
      <c r="P57" s="153"/>
      <c r="Q57" s="105"/>
      <c r="R57" s="105"/>
      <c r="S57" s="105"/>
      <c r="T57" s="105">
        <f>J57*40%</f>
        <v>57232.097999999998</v>
      </c>
      <c r="U57" s="105"/>
      <c r="V57" s="105"/>
      <c r="W57" s="105">
        <f t="shared" si="3"/>
        <v>214620.36749999999</v>
      </c>
      <c r="X57" s="105">
        <f t="shared" si="4"/>
        <v>2575.4444100000001</v>
      </c>
    </row>
    <row r="58" spans="1:24" s="147" customFormat="1" x14ac:dyDescent="0.25">
      <c r="A58" s="77">
        <v>47</v>
      </c>
      <c r="B58" s="142" t="s">
        <v>232</v>
      </c>
      <c r="C58" s="77">
        <v>1</v>
      </c>
      <c r="D58" s="77" t="s">
        <v>327</v>
      </c>
      <c r="E58" s="113">
        <v>4.3</v>
      </c>
      <c r="F58" s="104">
        <v>17697</v>
      </c>
      <c r="G58" s="76">
        <v>1.75</v>
      </c>
      <c r="H58" s="104">
        <f t="shared" si="0"/>
        <v>133169.92499999999</v>
      </c>
      <c r="I58" s="104"/>
      <c r="J58" s="104">
        <f t="shared" si="1"/>
        <v>133169.92499999999</v>
      </c>
      <c r="K58" s="104">
        <f t="shared" si="2"/>
        <v>13316.9925</v>
      </c>
      <c r="L58" s="104"/>
      <c r="M58" s="153"/>
      <c r="N58" s="153"/>
      <c r="O58" s="105"/>
      <c r="P58" s="153"/>
      <c r="Q58" s="105"/>
      <c r="R58" s="105"/>
      <c r="S58" s="105"/>
      <c r="T58" s="105"/>
      <c r="U58" s="105"/>
      <c r="V58" s="105"/>
      <c r="W58" s="105">
        <f t="shared" si="3"/>
        <v>146486.91749999998</v>
      </c>
      <c r="X58" s="105">
        <f t="shared" si="4"/>
        <v>1757.8430099999998</v>
      </c>
    </row>
    <row r="59" spans="1:24" s="147" customFormat="1" x14ac:dyDescent="0.25">
      <c r="A59" s="77">
        <v>48</v>
      </c>
      <c r="B59" s="142" t="s">
        <v>232</v>
      </c>
      <c r="C59" s="77">
        <v>1</v>
      </c>
      <c r="D59" s="77" t="s">
        <v>327</v>
      </c>
      <c r="E59" s="113">
        <v>4.51</v>
      </c>
      <c r="F59" s="104">
        <v>17697</v>
      </c>
      <c r="G59" s="76">
        <v>1.75</v>
      </c>
      <c r="H59" s="104">
        <f t="shared" si="0"/>
        <v>139673.57250000001</v>
      </c>
      <c r="I59" s="104"/>
      <c r="J59" s="104">
        <f t="shared" si="1"/>
        <v>139673.57250000001</v>
      </c>
      <c r="K59" s="104">
        <f t="shared" si="2"/>
        <v>13967.357250000001</v>
      </c>
      <c r="L59" s="104"/>
      <c r="M59" s="153"/>
      <c r="N59" s="153"/>
      <c r="O59" s="105"/>
      <c r="P59" s="153"/>
      <c r="Q59" s="105"/>
      <c r="R59" s="105"/>
      <c r="S59" s="105">
        <f>H59*35%</f>
        <v>48885.750375000003</v>
      </c>
      <c r="T59" s="105"/>
      <c r="U59" s="105"/>
      <c r="V59" s="105"/>
      <c r="W59" s="105">
        <f t="shared" si="3"/>
        <v>202526.68012500001</v>
      </c>
      <c r="X59" s="105">
        <f t="shared" si="4"/>
        <v>2430.3201615000003</v>
      </c>
    </row>
    <row r="60" spans="1:24" s="147" customFormat="1" x14ac:dyDescent="0.25">
      <c r="A60" s="77">
        <v>49</v>
      </c>
      <c r="B60" s="142" t="s">
        <v>232</v>
      </c>
      <c r="C60" s="77">
        <v>1</v>
      </c>
      <c r="D60" s="77" t="s">
        <v>328</v>
      </c>
      <c r="E60" s="113">
        <v>4.3600000000000003</v>
      </c>
      <c r="F60" s="104">
        <v>17697</v>
      </c>
      <c r="G60" s="76">
        <v>1.75</v>
      </c>
      <c r="H60" s="104">
        <f t="shared" si="0"/>
        <v>135028.11000000002</v>
      </c>
      <c r="I60" s="104"/>
      <c r="J60" s="104">
        <f t="shared" si="1"/>
        <v>135028.11000000002</v>
      </c>
      <c r="K60" s="104">
        <f t="shared" si="2"/>
        <v>13502.811000000002</v>
      </c>
      <c r="L60" s="104"/>
      <c r="M60" s="153"/>
      <c r="N60" s="153"/>
      <c r="O60" s="105"/>
      <c r="P60" s="153"/>
      <c r="Q60" s="105"/>
      <c r="R60" s="105"/>
      <c r="S60" s="105"/>
      <c r="T60" s="105"/>
      <c r="U60" s="105"/>
      <c r="V60" s="105"/>
      <c r="W60" s="105">
        <f t="shared" si="3"/>
        <v>148530.92100000003</v>
      </c>
      <c r="X60" s="105">
        <f t="shared" si="4"/>
        <v>1782.3710520000004</v>
      </c>
    </row>
    <row r="61" spans="1:24" s="147" customFormat="1" x14ac:dyDescent="0.25">
      <c r="A61" s="77">
        <v>50</v>
      </c>
      <c r="B61" s="142" t="s">
        <v>232</v>
      </c>
      <c r="C61" s="77">
        <v>1</v>
      </c>
      <c r="D61" s="77" t="s">
        <v>327</v>
      </c>
      <c r="E61" s="113">
        <v>4.3</v>
      </c>
      <c r="F61" s="104">
        <v>17697</v>
      </c>
      <c r="G61" s="76">
        <v>1.75</v>
      </c>
      <c r="H61" s="104">
        <f t="shared" si="0"/>
        <v>133169.92499999999</v>
      </c>
      <c r="I61" s="104"/>
      <c r="J61" s="104">
        <f t="shared" si="1"/>
        <v>133169.92499999999</v>
      </c>
      <c r="K61" s="104">
        <f t="shared" si="2"/>
        <v>13316.9925</v>
      </c>
      <c r="L61" s="104"/>
      <c r="M61" s="153"/>
      <c r="N61" s="153"/>
      <c r="O61" s="105"/>
      <c r="P61" s="153"/>
      <c r="Q61" s="105"/>
      <c r="R61" s="105"/>
      <c r="S61" s="105">
        <f>H61*35%</f>
        <v>46609.47374999999</v>
      </c>
      <c r="T61" s="105"/>
      <c r="U61" s="105"/>
      <c r="V61" s="105"/>
      <c r="W61" s="105">
        <f t="shared" si="3"/>
        <v>193096.39124999999</v>
      </c>
      <c r="X61" s="105">
        <f t="shared" si="4"/>
        <v>2317.1566949999997</v>
      </c>
    </row>
    <row r="62" spans="1:24" s="147" customFormat="1" x14ac:dyDescent="0.25">
      <c r="A62" s="77">
        <v>51</v>
      </c>
      <c r="B62" s="142" t="s">
        <v>232</v>
      </c>
      <c r="C62" s="77">
        <v>1</v>
      </c>
      <c r="D62" s="77" t="s">
        <v>328</v>
      </c>
      <c r="E62" s="113">
        <v>4.28</v>
      </c>
      <c r="F62" s="104">
        <v>17697</v>
      </c>
      <c r="G62" s="76">
        <v>1.75</v>
      </c>
      <c r="H62" s="104">
        <f t="shared" si="0"/>
        <v>132550.53</v>
      </c>
      <c r="I62" s="104"/>
      <c r="J62" s="104">
        <f t="shared" si="1"/>
        <v>132550.53</v>
      </c>
      <c r="K62" s="104">
        <f t="shared" si="2"/>
        <v>13255.053</v>
      </c>
      <c r="L62" s="104"/>
      <c r="M62" s="153"/>
      <c r="N62" s="153"/>
      <c r="O62" s="105"/>
      <c r="P62" s="153"/>
      <c r="Q62" s="105"/>
      <c r="R62" s="105"/>
      <c r="S62" s="105"/>
      <c r="T62" s="105"/>
      <c r="U62" s="105"/>
      <c r="V62" s="105"/>
      <c r="W62" s="105">
        <f t="shared" si="3"/>
        <v>145805.58299999998</v>
      </c>
      <c r="X62" s="105">
        <f t="shared" si="4"/>
        <v>1749.6669959999997</v>
      </c>
    </row>
    <row r="63" spans="1:24" s="147" customFormat="1" x14ac:dyDescent="0.25">
      <c r="A63" s="77">
        <v>52</v>
      </c>
      <c r="B63" s="142" t="s">
        <v>232</v>
      </c>
      <c r="C63" s="77">
        <v>1</v>
      </c>
      <c r="D63" s="77" t="s">
        <v>328</v>
      </c>
      <c r="E63" s="113">
        <v>4.28</v>
      </c>
      <c r="F63" s="104">
        <v>17697</v>
      </c>
      <c r="G63" s="76">
        <v>1.75</v>
      </c>
      <c r="H63" s="104">
        <f t="shared" si="0"/>
        <v>132550.53</v>
      </c>
      <c r="I63" s="104"/>
      <c r="J63" s="104">
        <f t="shared" si="1"/>
        <v>132550.53</v>
      </c>
      <c r="K63" s="104">
        <f t="shared" si="2"/>
        <v>13255.053</v>
      </c>
      <c r="L63" s="104"/>
      <c r="M63" s="153"/>
      <c r="N63" s="153"/>
      <c r="O63" s="105"/>
      <c r="P63" s="153"/>
      <c r="Q63" s="105"/>
      <c r="R63" s="105"/>
      <c r="S63" s="105"/>
      <c r="T63" s="105"/>
      <c r="U63" s="105"/>
      <c r="V63" s="105"/>
      <c r="W63" s="105">
        <f t="shared" si="3"/>
        <v>145805.58299999998</v>
      </c>
      <c r="X63" s="105">
        <f t="shared" si="4"/>
        <v>1749.6669959999997</v>
      </c>
    </row>
    <row r="64" spans="1:24" s="147" customFormat="1" x14ac:dyDescent="0.25">
      <c r="A64" s="77">
        <v>53</v>
      </c>
      <c r="B64" s="142" t="s">
        <v>232</v>
      </c>
      <c r="C64" s="77">
        <v>1</v>
      </c>
      <c r="D64" s="77" t="s">
        <v>329</v>
      </c>
      <c r="E64" s="113">
        <v>4</v>
      </c>
      <c r="F64" s="104">
        <v>17697</v>
      </c>
      <c r="G64" s="76">
        <v>1.75</v>
      </c>
      <c r="H64" s="104">
        <f t="shared" si="0"/>
        <v>123879</v>
      </c>
      <c r="I64" s="104"/>
      <c r="J64" s="104">
        <f t="shared" si="1"/>
        <v>123879</v>
      </c>
      <c r="K64" s="104">
        <f t="shared" si="2"/>
        <v>12387.900000000001</v>
      </c>
      <c r="L64" s="104"/>
      <c r="M64" s="153"/>
      <c r="N64" s="153"/>
      <c r="O64" s="105"/>
      <c r="P64" s="153"/>
      <c r="Q64" s="105"/>
      <c r="R64" s="105"/>
      <c r="S64" s="105"/>
      <c r="T64" s="105"/>
      <c r="U64" s="105"/>
      <c r="V64" s="105"/>
      <c r="W64" s="105">
        <f t="shared" si="3"/>
        <v>136266.9</v>
      </c>
      <c r="X64" s="105">
        <f t="shared" si="4"/>
        <v>1635.2027999999998</v>
      </c>
    </row>
    <row r="65" spans="1:24" s="147" customFormat="1" x14ac:dyDescent="0.25">
      <c r="A65" s="77">
        <v>54</v>
      </c>
      <c r="B65" s="142" t="s">
        <v>232</v>
      </c>
      <c r="C65" s="77">
        <v>1</v>
      </c>
      <c r="D65" s="77" t="s">
        <v>327</v>
      </c>
      <c r="E65" s="113">
        <v>4.3</v>
      </c>
      <c r="F65" s="104">
        <v>17697</v>
      </c>
      <c r="G65" s="76">
        <v>1.75</v>
      </c>
      <c r="H65" s="104">
        <f t="shared" si="0"/>
        <v>133169.92499999999</v>
      </c>
      <c r="I65" s="104"/>
      <c r="J65" s="104">
        <f t="shared" si="1"/>
        <v>133169.92499999999</v>
      </c>
      <c r="K65" s="104">
        <f t="shared" si="2"/>
        <v>13316.9925</v>
      </c>
      <c r="L65" s="104"/>
      <c r="M65" s="153"/>
      <c r="N65" s="153"/>
      <c r="O65" s="105"/>
      <c r="P65" s="153"/>
      <c r="Q65" s="105"/>
      <c r="R65" s="105"/>
      <c r="S65" s="105">
        <f>H65*35%</f>
        <v>46609.47374999999</v>
      </c>
      <c r="T65" s="105"/>
      <c r="U65" s="105"/>
      <c r="V65" s="105"/>
      <c r="W65" s="105">
        <f t="shared" si="3"/>
        <v>193096.39124999999</v>
      </c>
      <c r="X65" s="105">
        <f t="shared" si="4"/>
        <v>2317.1566949999997</v>
      </c>
    </row>
    <row r="66" spans="1:24" s="147" customFormat="1" x14ac:dyDescent="0.25">
      <c r="A66" s="77">
        <v>55</v>
      </c>
      <c r="B66" s="142" t="s">
        <v>232</v>
      </c>
      <c r="C66" s="77">
        <v>1</v>
      </c>
      <c r="D66" s="77" t="s">
        <v>329</v>
      </c>
      <c r="E66" s="113">
        <v>4</v>
      </c>
      <c r="F66" s="104">
        <v>17697</v>
      </c>
      <c r="G66" s="76">
        <v>1.75</v>
      </c>
      <c r="H66" s="104">
        <f t="shared" si="0"/>
        <v>123879</v>
      </c>
      <c r="I66" s="104"/>
      <c r="J66" s="104">
        <f t="shared" si="1"/>
        <v>123879</v>
      </c>
      <c r="K66" s="104">
        <f t="shared" si="2"/>
        <v>12387.900000000001</v>
      </c>
      <c r="L66" s="104"/>
      <c r="M66" s="153"/>
      <c r="N66" s="153"/>
      <c r="O66" s="105"/>
      <c r="P66" s="153"/>
      <c r="Q66" s="105"/>
      <c r="R66" s="105"/>
      <c r="S66" s="105"/>
      <c r="T66" s="105"/>
      <c r="U66" s="105"/>
      <c r="V66" s="105"/>
      <c r="W66" s="105">
        <f t="shared" si="3"/>
        <v>136266.9</v>
      </c>
      <c r="X66" s="105">
        <f t="shared" si="4"/>
        <v>1635.2027999999998</v>
      </c>
    </row>
    <row r="67" spans="1:24" s="147" customFormat="1" x14ac:dyDescent="0.25">
      <c r="A67" s="77">
        <v>56</v>
      </c>
      <c r="B67" s="142" t="s">
        <v>232</v>
      </c>
      <c r="C67" s="77">
        <v>1</v>
      </c>
      <c r="D67" s="77" t="s">
        <v>327</v>
      </c>
      <c r="E67" s="113">
        <v>4.2300000000000004</v>
      </c>
      <c r="F67" s="104">
        <v>17697</v>
      </c>
      <c r="G67" s="76">
        <v>1.75</v>
      </c>
      <c r="H67" s="104">
        <f t="shared" si="0"/>
        <v>131002.04250000003</v>
      </c>
      <c r="I67" s="104"/>
      <c r="J67" s="104">
        <f t="shared" si="1"/>
        <v>131002.04250000003</v>
      </c>
      <c r="K67" s="104">
        <f t="shared" si="2"/>
        <v>13100.204250000003</v>
      </c>
      <c r="L67" s="104"/>
      <c r="M67" s="153"/>
      <c r="N67" s="153"/>
      <c r="O67" s="105"/>
      <c r="P67" s="153"/>
      <c r="Q67" s="105"/>
      <c r="R67" s="105"/>
      <c r="S67" s="105">
        <f>H67*35%</f>
        <v>45850.714875000005</v>
      </c>
      <c r="T67" s="105"/>
      <c r="U67" s="105"/>
      <c r="V67" s="105"/>
      <c r="W67" s="105">
        <f t="shared" si="3"/>
        <v>189952.96162500003</v>
      </c>
      <c r="X67" s="105">
        <f t="shared" si="4"/>
        <v>2279.4355395000002</v>
      </c>
    </row>
    <row r="68" spans="1:24" s="147" customFormat="1" x14ac:dyDescent="0.25">
      <c r="A68" s="77">
        <v>57</v>
      </c>
      <c r="B68" s="142" t="s">
        <v>232</v>
      </c>
      <c r="C68" s="77">
        <v>1</v>
      </c>
      <c r="D68" s="77" t="s">
        <v>328</v>
      </c>
      <c r="E68" s="113">
        <v>4.21</v>
      </c>
      <c r="F68" s="104">
        <v>17697</v>
      </c>
      <c r="G68" s="76">
        <v>1.75</v>
      </c>
      <c r="H68" s="104">
        <f t="shared" si="0"/>
        <v>130382.64749999999</v>
      </c>
      <c r="I68" s="104"/>
      <c r="J68" s="104">
        <f t="shared" si="1"/>
        <v>130382.64749999999</v>
      </c>
      <c r="K68" s="104">
        <f t="shared" si="2"/>
        <v>13038.26475</v>
      </c>
      <c r="L68" s="104"/>
      <c r="M68" s="153"/>
      <c r="N68" s="153"/>
      <c r="O68" s="105"/>
      <c r="P68" s="153"/>
      <c r="Q68" s="105"/>
      <c r="R68" s="105"/>
      <c r="S68" s="105"/>
      <c r="T68" s="105"/>
      <c r="U68" s="105"/>
      <c r="V68" s="105"/>
      <c r="W68" s="105">
        <f t="shared" si="3"/>
        <v>143420.91224999999</v>
      </c>
      <c r="X68" s="105">
        <f t="shared" si="4"/>
        <v>1721.050947</v>
      </c>
    </row>
    <row r="69" spans="1:24" s="147" customFormat="1" x14ac:dyDescent="0.25">
      <c r="A69" s="77">
        <v>58</v>
      </c>
      <c r="B69" s="142" t="s">
        <v>232</v>
      </c>
      <c r="C69" s="77">
        <v>1</v>
      </c>
      <c r="D69" s="77" t="s">
        <v>326</v>
      </c>
      <c r="E69" s="113">
        <v>4.49</v>
      </c>
      <c r="F69" s="104">
        <v>17697</v>
      </c>
      <c r="G69" s="76">
        <v>1.75</v>
      </c>
      <c r="H69" s="104">
        <f t="shared" si="0"/>
        <v>139054.17749999999</v>
      </c>
      <c r="I69" s="104"/>
      <c r="J69" s="104">
        <f t="shared" si="1"/>
        <v>139054.17749999999</v>
      </c>
      <c r="K69" s="104">
        <f t="shared" si="2"/>
        <v>13905.417750000001</v>
      </c>
      <c r="L69" s="104"/>
      <c r="M69" s="153"/>
      <c r="N69" s="153"/>
      <c r="O69" s="105"/>
      <c r="P69" s="153"/>
      <c r="Q69" s="105"/>
      <c r="R69" s="105"/>
      <c r="S69" s="105"/>
      <c r="T69" s="105">
        <f>J69*40%</f>
        <v>55621.671000000002</v>
      </c>
      <c r="U69" s="105"/>
      <c r="V69" s="105"/>
      <c r="W69" s="105">
        <f t="shared" si="3"/>
        <v>208581.26624999999</v>
      </c>
      <c r="X69" s="105">
        <f t="shared" si="4"/>
        <v>2502.975195</v>
      </c>
    </row>
    <row r="70" spans="1:24" s="147" customFormat="1" x14ac:dyDescent="0.25">
      <c r="A70" s="77">
        <v>59</v>
      </c>
      <c r="B70" s="142" t="s">
        <v>232</v>
      </c>
      <c r="C70" s="77">
        <v>1</v>
      </c>
      <c r="D70" s="77" t="s">
        <v>327</v>
      </c>
      <c r="E70" s="113">
        <v>4.2300000000000004</v>
      </c>
      <c r="F70" s="104">
        <v>17697</v>
      </c>
      <c r="G70" s="76">
        <v>1.75</v>
      </c>
      <c r="H70" s="104">
        <f t="shared" si="0"/>
        <v>131002.04250000003</v>
      </c>
      <c r="I70" s="104"/>
      <c r="J70" s="104">
        <f t="shared" si="1"/>
        <v>131002.04250000003</v>
      </c>
      <c r="K70" s="104">
        <f t="shared" si="2"/>
        <v>13100.204250000003</v>
      </c>
      <c r="L70" s="104"/>
      <c r="M70" s="153"/>
      <c r="N70" s="153"/>
      <c r="O70" s="105"/>
      <c r="P70" s="153"/>
      <c r="Q70" s="105"/>
      <c r="R70" s="105"/>
      <c r="S70" s="105">
        <f>H70*35%</f>
        <v>45850.714875000005</v>
      </c>
      <c r="T70" s="105"/>
      <c r="U70" s="105"/>
      <c r="V70" s="105"/>
      <c r="W70" s="105">
        <f t="shared" si="3"/>
        <v>189952.96162500003</v>
      </c>
      <c r="X70" s="105">
        <f t="shared" si="4"/>
        <v>2279.4355395000002</v>
      </c>
    </row>
    <row r="71" spans="1:24" s="147" customFormat="1" x14ac:dyDescent="0.25">
      <c r="A71" s="77">
        <v>60</v>
      </c>
      <c r="B71" s="142" t="s">
        <v>232</v>
      </c>
      <c r="C71" s="77">
        <v>1</v>
      </c>
      <c r="D71" s="77" t="s">
        <v>327</v>
      </c>
      <c r="E71" s="113">
        <v>4.16</v>
      </c>
      <c r="F71" s="104">
        <v>17697</v>
      </c>
      <c r="G71" s="76">
        <v>1.75</v>
      </c>
      <c r="H71" s="104">
        <f t="shared" si="0"/>
        <v>128834.16</v>
      </c>
      <c r="I71" s="104"/>
      <c r="J71" s="104">
        <f t="shared" si="1"/>
        <v>128834.16</v>
      </c>
      <c r="K71" s="104">
        <f t="shared" si="2"/>
        <v>12883.416000000001</v>
      </c>
      <c r="L71" s="104"/>
      <c r="M71" s="153"/>
      <c r="N71" s="153"/>
      <c r="O71" s="105"/>
      <c r="P71" s="153"/>
      <c r="Q71" s="105"/>
      <c r="R71" s="105"/>
      <c r="S71" s="105">
        <f>H71*35%</f>
        <v>45091.955999999998</v>
      </c>
      <c r="T71" s="105"/>
      <c r="U71" s="105"/>
      <c r="V71" s="105"/>
      <c r="W71" s="105">
        <f t="shared" si="3"/>
        <v>186809.53200000001</v>
      </c>
      <c r="X71" s="105">
        <f t="shared" si="4"/>
        <v>2241.7143839999999</v>
      </c>
    </row>
    <row r="72" spans="1:24" s="147" customFormat="1" x14ac:dyDescent="0.25">
      <c r="A72" s="77">
        <v>61</v>
      </c>
      <c r="B72" s="142" t="s">
        <v>232</v>
      </c>
      <c r="C72" s="77">
        <v>1</v>
      </c>
      <c r="D72" s="77" t="s">
        <v>327</v>
      </c>
      <c r="E72" s="113">
        <v>4.3</v>
      </c>
      <c r="F72" s="104">
        <v>17697</v>
      </c>
      <c r="G72" s="76">
        <v>1.75</v>
      </c>
      <c r="H72" s="104">
        <f t="shared" si="0"/>
        <v>133169.92499999999</v>
      </c>
      <c r="I72" s="104"/>
      <c r="J72" s="104">
        <f t="shared" si="1"/>
        <v>133169.92499999999</v>
      </c>
      <c r="K72" s="104">
        <f t="shared" si="2"/>
        <v>13316.9925</v>
      </c>
      <c r="L72" s="104"/>
      <c r="M72" s="153"/>
      <c r="N72" s="153"/>
      <c r="O72" s="105"/>
      <c r="P72" s="153"/>
      <c r="Q72" s="105"/>
      <c r="R72" s="105"/>
      <c r="S72" s="105">
        <f>H72*35%</f>
        <v>46609.47374999999</v>
      </c>
      <c r="T72" s="105"/>
      <c r="U72" s="105"/>
      <c r="V72" s="105"/>
      <c r="W72" s="105">
        <f t="shared" si="3"/>
        <v>193096.39124999999</v>
      </c>
      <c r="X72" s="105">
        <f t="shared" si="4"/>
        <v>2317.1566949999997</v>
      </c>
    </row>
    <row r="73" spans="1:24" s="147" customFormat="1" x14ac:dyDescent="0.25">
      <c r="A73" s="77">
        <v>62</v>
      </c>
      <c r="B73" s="142" t="s">
        <v>232</v>
      </c>
      <c r="C73" s="77">
        <v>1</v>
      </c>
      <c r="D73" s="77" t="s">
        <v>327</v>
      </c>
      <c r="E73" s="113">
        <v>4.2300000000000004</v>
      </c>
      <c r="F73" s="104">
        <v>17697</v>
      </c>
      <c r="G73" s="76">
        <v>1.75</v>
      </c>
      <c r="H73" s="104">
        <f t="shared" si="0"/>
        <v>131002.04250000003</v>
      </c>
      <c r="I73" s="104"/>
      <c r="J73" s="104">
        <f t="shared" si="1"/>
        <v>131002.04250000003</v>
      </c>
      <c r="K73" s="104">
        <f t="shared" si="2"/>
        <v>13100.204250000003</v>
      </c>
      <c r="L73" s="104"/>
      <c r="M73" s="153"/>
      <c r="N73" s="153"/>
      <c r="O73" s="105"/>
      <c r="P73" s="153"/>
      <c r="Q73" s="105"/>
      <c r="R73" s="105"/>
      <c r="S73" s="105">
        <f>H73*35%</f>
        <v>45850.714875000005</v>
      </c>
      <c r="T73" s="105"/>
      <c r="U73" s="105"/>
      <c r="V73" s="105"/>
      <c r="W73" s="105">
        <f t="shared" si="3"/>
        <v>189952.96162500003</v>
      </c>
      <c r="X73" s="105">
        <f t="shared" si="4"/>
        <v>2279.4355395000002</v>
      </c>
    </row>
    <row r="74" spans="1:24" s="147" customFormat="1" x14ac:dyDescent="0.25">
      <c r="A74" s="77">
        <v>63</v>
      </c>
      <c r="B74" s="142" t="s">
        <v>232</v>
      </c>
      <c r="C74" s="77">
        <v>1</v>
      </c>
      <c r="D74" s="77" t="s">
        <v>330</v>
      </c>
      <c r="E74" s="115">
        <v>4.28</v>
      </c>
      <c r="F74" s="104">
        <v>17697</v>
      </c>
      <c r="G74" s="76">
        <v>1.75</v>
      </c>
      <c r="H74" s="104">
        <f t="shared" si="0"/>
        <v>132550.53</v>
      </c>
      <c r="I74" s="104"/>
      <c r="J74" s="104">
        <f t="shared" si="1"/>
        <v>132550.53</v>
      </c>
      <c r="K74" s="104">
        <f t="shared" si="2"/>
        <v>13255.053</v>
      </c>
      <c r="L74" s="104"/>
      <c r="M74" s="153"/>
      <c r="N74" s="153"/>
      <c r="O74" s="105"/>
      <c r="P74" s="153"/>
      <c r="Q74" s="105"/>
      <c r="R74" s="105">
        <f>H74*30%</f>
        <v>39765.159</v>
      </c>
      <c r="S74" s="105"/>
      <c r="T74" s="105"/>
      <c r="U74" s="105"/>
      <c r="V74" s="105"/>
      <c r="W74" s="105">
        <f t="shared" si="3"/>
        <v>185570.74199999997</v>
      </c>
      <c r="X74" s="105">
        <f t="shared" si="4"/>
        <v>2226.8489039999995</v>
      </c>
    </row>
    <row r="75" spans="1:24" s="147" customFormat="1" x14ac:dyDescent="0.25">
      <c r="A75" s="77">
        <v>64</v>
      </c>
      <c r="B75" s="142" t="s">
        <v>260</v>
      </c>
      <c r="C75" s="77">
        <v>1</v>
      </c>
      <c r="D75" s="77" t="s">
        <v>14</v>
      </c>
      <c r="E75" s="113">
        <v>3.25</v>
      </c>
      <c r="F75" s="104">
        <v>17697</v>
      </c>
      <c r="G75" s="76">
        <v>1.23</v>
      </c>
      <c r="H75" s="104">
        <f t="shared" si="0"/>
        <v>70743.757499999992</v>
      </c>
      <c r="I75" s="104"/>
      <c r="J75" s="104">
        <f t="shared" si="1"/>
        <v>70743.757499999992</v>
      </c>
      <c r="K75" s="104">
        <f t="shared" si="2"/>
        <v>7074.3757499999992</v>
      </c>
      <c r="L75" s="104"/>
      <c r="M75" s="153"/>
      <c r="N75" s="153"/>
      <c r="O75" s="105">
        <f>J75/20.42/2</f>
        <v>1732.2173726738488</v>
      </c>
      <c r="P75" s="105">
        <f>J75/20.42/8*243.33/2/4</f>
        <v>13171.889165397739</v>
      </c>
      <c r="Q75" s="105"/>
      <c r="R75" s="105"/>
      <c r="S75" s="105"/>
      <c r="T75" s="105"/>
      <c r="U75" s="105"/>
      <c r="V75" s="105"/>
      <c r="W75" s="105">
        <f t="shared" si="3"/>
        <v>92722.239788071573</v>
      </c>
      <c r="X75" s="105">
        <f t="shared" si="4"/>
        <v>1112.6668774568589</v>
      </c>
    </row>
    <row r="76" spans="1:24" s="147" customFormat="1" x14ac:dyDescent="0.25">
      <c r="A76" s="77">
        <v>65</v>
      </c>
      <c r="B76" s="142" t="s">
        <v>260</v>
      </c>
      <c r="C76" s="77">
        <v>1</v>
      </c>
      <c r="D76" s="77" t="s">
        <v>14</v>
      </c>
      <c r="E76" s="113">
        <v>3.25</v>
      </c>
      <c r="F76" s="104">
        <v>17697</v>
      </c>
      <c r="G76" s="76">
        <v>1.23</v>
      </c>
      <c r="H76" s="104">
        <f t="shared" ref="H76:H130" si="5">(E76*17697*C76)*G76</f>
        <v>70743.757499999992</v>
      </c>
      <c r="I76" s="104"/>
      <c r="J76" s="104">
        <f t="shared" si="1"/>
        <v>70743.757499999992</v>
      </c>
      <c r="K76" s="104">
        <f t="shared" si="2"/>
        <v>7074.3757499999992</v>
      </c>
      <c r="L76" s="104"/>
      <c r="M76" s="153"/>
      <c r="N76" s="153"/>
      <c r="O76" s="105">
        <f t="shared" ref="O76:O86" si="6">J76/20.42/2</f>
        <v>1732.2173726738488</v>
      </c>
      <c r="P76" s="105">
        <f t="shared" ref="P76:P86" si="7">J76/20.42/8*243.33/2/4</f>
        <v>13171.889165397739</v>
      </c>
      <c r="Q76" s="105"/>
      <c r="R76" s="105"/>
      <c r="S76" s="105"/>
      <c r="T76" s="105"/>
      <c r="U76" s="105"/>
      <c r="V76" s="105"/>
      <c r="W76" s="105">
        <f t="shared" si="3"/>
        <v>92722.239788071573</v>
      </c>
      <c r="X76" s="105">
        <f t="shared" si="4"/>
        <v>1112.6668774568589</v>
      </c>
    </row>
    <row r="77" spans="1:24" s="147" customFormat="1" x14ac:dyDescent="0.25">
      <c r="A77" s="77">
        <v>66</v>
      </c>
      <c r="B77" s="142" t="s">
        <v>260</v>
      </c>
      <c r="C77" s="77">
        <v>1</v>
      </c>
      <c r="D77" s="77" t="s">
        <v>14</v>
      </c>
      <c r="E77" s="113">
        <v>3.22</v>
      </c>
      <c r="F77" s="104">
        <v>17697</v>
      </c>
      <c r="G77" s="76">
        <v>1.23</v>
      </c>
      <c r="H77" s="104">
        <f t="shared" si="5"/>
        <v>70090.738200000007</v>
      </c>
      <c r="I77" s="104"/>
      <c r="J77" s="104">
        <f t="shared" ref="J77:J130" si="8">H77+I77</f>
        <v>70090.738200000007</v>
      </c>
      <c r="K77" s="104">
        <f t="shared" ref="K77:K130" si="9">J77*10%</f>
        <v>7009.0738200000014</v>
      </c>
      <c r="L77" s="104"/>
      <c r="M77" s="153"/>
      <c r="N77" s="153"/>
      <c r="O77" s="105">
        <f t="shared" si="6"/>
        <v>1716.2276738491676</v>
      </c>
      <c r="P77" s="105">
        <f t="shared" si="7"/>
        <v>13050.302496178687</v>
      </c>
      <c r="Q77" s="105"/>
      <c r="R77" s="105"/>
      <c r="S77" s="105"/>
      <c r="T77" s="105"/>
      <c r="U77" s="105"/>
      <c r="V77" s="105"/>
      <c r="W77" s="105">
        <f t="shared" ref="W77:W130" si="10">SUM(J77:V77)</f>
        <v>91866.342190027863</v>
      </c>
      <c r="X77" s="105">
        <f t="shared" ref="X77:X132" si="11">W77*12/1000</f>
        <v>1102.3961062803344</v>
      </c>
    </row>
    <row r="78" spans="1:24" s="147" customFormat="1" x14ac:dyDescent="0.25">
      <c r="A78" s="77">
        <v>67</v>
      </c>
      <c r="B78" s="142" t="s">
        <v>260</v>
      </c>
      <c r="C78" s="77">
        <v>1</v>
      </c>
      <c r="D78" s="77" t="s">
        <v>14</v>
      </c>
      <c r="E78" s="113">
        <v>3.22</v>
      </c>
      <c r="F78" s="104">
        <v>17697</v>
      </c>
      <c r="G78" s="76">
        <v>1.23</v>
      </c>
      <c r="H78" s="104">
        <f t="shared" si="5"/>
        <v>70090.738200000007</v>
      </c>
      <c r="I78" s="104"/>
      <c r="J78" s="104">
        <f t="shared" si="8"/>
        <v>70090.738200000007</v>
      </c>
      <c r="K78" s="104">
        <f t="shared" si="9"/>
        <v>7009.0738200000014</v>
      </c>
      <c r="L78" s="104"/>
      <c r="M78" s="153"/>
      <c r="N78" s="153"/>
      <c r="O78" s="105">
        <f t="shared" si="6"/>
        <v>1716.2276738491676</v>
      </c>
      <c r="P78" s="105">
        <f t="shared" si="7"/>
        <v>13050.302496178687</v>
      </c>
      <c r="Q78" s="105"/>
      <c r="R78" s="105"/>
      <c r="S78" s="105"/>
      <c r="T78" s="105"/>
      <c r="U78" s="105"/>
      <c r="V78" s="105"/>
      <c r="W78" s="105">
        <f t="shared" si="10"/>
        <v>91866.342190027863</v>
      </c>
      <c r="X78" s="105">
        <f t="shared" si="11"/>
        <v>1102.3961062803344</v>
      </c>
    </row>
    <row r="79" spans="1:24" s="147" customFormat="1" x14ac:dyDescent="0.25">
      <c r="A79" s="77">
        <v>68</v>
      </c>
      <c r="B79" s="142" t="s">
        <v>260</v>
      </c>
      <c r="C79" s="77">
        <v>1</v>
      </c>
      <c r="D79" s="77" t="s">
        <v>14</v>
      </c>
      <c r="E79" s="113">
        <v>3.19</v>
      </c>
      <c r="F79" s="104">
        <v>17697</v>
      </c>
      <c r="G79" s="76">
        <v>1.23</v>
      </c>
      <c r="H79" s="104">
        <f t="shared" si="5"/>
        <v>69437.718899999993</v>
      </c>
      <c r="I79" s="104"/>
      <c r="J79" s="104">
        <f t="shared" si="8"/>
        <v>69437.718899999993</v>
      </c>
      <c r="K79" s="104">
        <f t="shared" si="9"/>
        <v>6943.77189</v>
      </c>
      <c r="L79" s="104"/>
      <c r="M79" s="153"/>
      <c r="N79" s="153"/>
      <c r="O79" s="105">
        <f t="shared" si="6"/>
        <v>1700.2379750244854</v>
      </c>
      <c r="P79" s="105">
        <f t="shared" si="7"/>
        <v>12928.715826959628</v>
      </c>
      <c r="Q79" s="105"/>
      <c r="R79" s="105"/>
      <c r="S79" s="105"/>
      <c r="T79" s="105"/>
      <c r="U79" s="105"/>
      <c r="V79" s="105"/>
      <c r="W79" s="105">
        <f t="shared" si="10"/>
        <v>91010.444591984109</v>
      </c>
      <c r="X79" s="105">
        <f t="shared" si="11"/>
        <v>1092.1253351038094</v>
      </c>
    </row>
    <row r="80" spans="1:24" s="147" customFormat="1" x14ac:dyDescent="0.25">
      <c r="A80" s="77">
        <v>69</v>
      </c>
      <c r="B80" s="142" t="s">
        <v>260</v>
      </c>
      <c r="C80" s="77">
        <v>1</v>
      </c>
      <c r="D80" s="77" t="s">
        <v>14</v>
      </c>
      <c r="E80" s="113">
        <v>3.22</v>
      </c>
      <c r="F80" s="104">
        <v>17697</v>
      </c>
      <c r="G80" s="76">
        <v>1.23</v>
      </c>
      <c r="H80" s="104">
        <f t="shared" si="5"/>
        <v>70090.738200000007</v>
      </c>
      <c r="I80" s="104"/>
      <c r="J80" s="104">
        <f t="shared" si="8"/>
        <v>70090.738200000007</v>
      </c>
      <c r="K80" s="104">
        <f t="shared" si="9"/>
        <v>7009.0738200000014</v>
      </c>
      <c r="L80" s="104"/>
      <c r="M80" s="153"/>
      <c r="N80" s="153"/>
      <c r="O80" s="105">
        <f t="shared" si="6"/>
        <v>1716.2276738491676</v>
      </c>
      <c r="P80" s="105">
        <f t="shared" si="7"/>
        <v>13050.302496178687</v>
      </c>
      <c r="Q80" s="105"/>
      <c r="R80" s="105"/>
      <c r="S80" s="105"/>
      <c r="T80" s="105"/>
      <c r="U80" s="105"/>
      <c r="V80" s="105"/>
      <c r="W80" s="105">
        <f t="shared" si="10"/>
        <v>91866.342190027863</v>
      </c>
      <c r="X80" s="105">
        <f t="shared" si="11"/>
        <v>1102.3961062803344</v>
      </c>
    </row>
    <row r="81" spans="1:24" s="147" customFormat="1" x14ac:dyDescent="0.25">
      <c r="A81" s="77">
        <v>70</v>
      </c>
      <c r="B81" s="142" t="s">
        <v>260</v>
      </c>
      <c r="C81" s="77">
        <v>1</v>
      </c>
      <c r="D81" s="77" t="s">
        <v>14</v>
      </c>
      <c r="E81" s="113">
        <v>3.19</v>
      </c>
      <c r="F81" s="104">
        <v>17697</v>
      </c>
      <c r="G81" s="76">
        <v>1.23</v>
      </c>
      <c r="H81" s="104">
        <f t="shared" si="5"/>
        <v>69437.718899999993</v>
      </c>
      <c r="I81" s="104"/>
      <c r="J81" s="104">
        <f t="shared" si="8"/>
        <v>69437.718899999993</v>
      </c>
      <c r="K81" s="104">
        <f t="shared" si="9"/>
        <v>6943.77189</v>
      </c>
      <c r="L81" s="104"/>
      <c r="M81" s="153"/>
      <c r="N81" s="153"/>
      <c r="O81" s="105">
        <f t="shared" si="6"/>
        <v>1700.2379750244854</v>
      </c>
      <c r="P81" s="105">
        <f t="shared" si="7"/>
        <v>12928.715826959628</v>
      </c>
      <c r="Q81" s="105"/>
      <c r="R81" s="105"/>
      <c r="S81" s="105"/>
      <c r="T81" s="105"/>
      <c r="U81" s="105"/>
      <c r="V81" s="105"/>
      <c r="W81" s="105">
        <f t="shared" si="10"/>
        <v>91010.444591984109</v>
      </c>
      <c r="X81" s="105">
        <f t="shared" si="11"/>
        <v>1092.1253351038094</v>
      </c>
    </row>
    <row r="82" spans="1:24" s="147" customFormat="1" x14ac:dyDescent="0.25">
      <c r="A82" s="77">
        <v>71</v>
      </c>
      <c r="B82" s="142" t="s">
        <v>260</v>
      </c>
      <c r="C82" s="77">
        <v>1</v>
      </c>
      <c r="D82" s="77" t="s">
        <v>14</v>
      </c>
      <c r="E82" s="113">
        <v>3.19</v>
      </c>
      <c r="F82" s="104">
        <v>17697</v>
      </c>
      <c r="G82" s="76">
        <v>1.23</v>
      </c>
      <c r="H82" s="104">
        <f t="shared" si="5"/>
        <v>69437.718899999993</v>
      </c>
      <c r="I82" s="104"/>
      <c r="J82" s="104">
        <f t="shared" si="8"/>
        <v>69437.718899999993</v>
      </c>
      <c r="K82" s="104">
        <f t="shared" si="9"/>
        <v>6943.77189</v>
      </c>
      <c r="L82" s="104"/>
      <c r="M82" s="153"/>
      <c r="N82" s="153"/>
      <c r="O82" s="105">
        <f t="shared" si="6"/>
        <v>1700.2379750244854</v>
      </c>
      <c r="P82" s="105">
        <f t="shared" si="7"/>
        <v>12928.715826959628</v>
      </c>
      <c r="Q82" s="105"/>
      <c r="R82" s="105"/>
      <c r="S82" s="105"/>
      <c r="T82" s="105"/>
      <c r="U82" s="105"/>
      <c r="V82" s="105"/>
      <c r="W82" s="105">
        <f t="shared" si="10"/>
        <v>91010.444591984109</v>
      </c>
      <c r="X82" s="105">
        <f t="shared" si="11"/>
        <v>1092.1253351038094</v>
      </c>
    </row>
    <row r="83" spans="1:24" s="147" customFormat="1" x14ac:dyDescent="0.25">
      <c r="A83" s="77">
        <v>72</v>
      </c>
      <c r="B83" s="142" t="s">
        <v>260</v>
      </c>
      <c r="C83" s="77">
        <v>1</v>
      </c>
      <c r="D83" s="77" t="s">
        <v>14</v>
      </c>
      <c r="E83" s="113">
        <v>3.16</v>
      </c>
      <c r="F83" s="104">
        <v>17697</v>
      </c>
      <c r="G83" s="76">
        <v>1.23</v>
      </c>
      <c r="H83" s="104">
        <f t="shared" si="5"/>
        <v>68784.699600000007</v>
      </c>
      <c r="I83" s="104"/>
      <c r="J83" s="104">
        <f t="shared" si="8"/>
        <v>68784.699600000007</v>
      </c>
      <c r="K83" s="104">
        <f t="shared" si="9"/>
        <v>6878.4699600000013</v>
      </c>
      <c r="L83" s="104"/>
      <c r="M83" s="153"/>
      <c r="N83" s="153"/>
      <c r="O83" s="105">
        <f t="shared" si="6"/>
        <v>1684.2482761998042</v>
      </c>
      <c r="P83" s="105">
        <f t="shared" si="7"/>
        <v>12807.129157740574</v>
      </c>
      <c r="Q83" s="105"/>
      <c r="R83" s="105"/>
      <c r="S83" s="105"/>
      <c r="T83" s="105"/>
      <c r="U83" s="105"/>
      <c r="V83" s="105"/>
      <c r="W83" s="105">
        <f t="shared" si="10"/>
        <v>90154.546993940399</v>
      </c>
      <c r="X83" s="105">
        <f t="shared" si="11"/>
        <v>1081.854563927285</v>
      </c>
    </row>
    <row r="84" spans="1:24" s="147" customFormat="1" x14ac:dyDescent="0.25">
      <c r="A84" s="77">
        <v>73</v>
      </c>
      <c r="B84" s="142" t="s">
        <v>260</v>
      </c>
      <c r="C84" s="77">
        <v>1</v>
      </c>
      <c r="D84" s="77" t="s">
        <v>14</v>
      </c>
      <c r="E84" s="113">
        <v>3.29</v>
      </c>
      <c r="F84" s="104">
        <v>17697</v>
      </c>
      <c r="G84" s="76">
        <v>1.23</v>
      </c>
      <c r="H84" s="104">
        <f t="shared" si="5"/>
        <v>71614.449899999992</v>
      </c>
      <c r="I84" s="104"/>
      <c r="J84" s="104">
        <f t="shared" si="8"/>
        <v>71614.449899999992</v>
      </c>
      <c r="K84" s="104">
        <f t="shared" si="9"/>
        <v>7161.44499</v>
      </c>
      <c r="L84" s="104"/>
      <c r="M84" s="153"/>
      <c r="N84" s="153"/>
      <c r="O84" s="105">
        <f t="shared" si="6"/>
        <v>1753.5369711067578</v>
      </c>
      <c r="P84" s="105">
        <f t="shared" si="7"/>
        <v>13334.004724356482</v>
      </c>
      <c r="Q84" s="105"/>
      <c r="R84" s="105"/>
      <c r="S84" s="105"/>
      <c r="T84" s="105"/>
      <c r="U84" s="105"/>
      <c r="V84" s="105"/>
      <c r="W84" s="105">
        <f t="shared" si="10"/>
        <v>93863.436585463234</v>
      </c>
      <c r="X84" s="105">
        <f t="shared" si="11"/>
        <v>1126.3612390255589</v>
      </c>
    </row>
    <row r="85" spans="1:24" s="147" customFormat="1" x14ac:dyDescent="0.25">
      <c r="A85" s="77">
        <v>74</v>
      </c>
      <c r="B85" s="142" t="s">
        <v>260</v>
      </c>
      <c r="C85" s="77">
        <v>1</v>
      </c>
      <c r="D85" s="77" t="s">
        <v>14</v>
      </c>
      <c r="E85" s="113">
        <v>3.12</v>
      </c>
      <c r="F85" s="104">
        <v>17697</v>
      </c>
      <c r="G85" s="76">
        <v>1.23</v>
      </c>
      <c r="H85" s="104">
        <f t="shared" si="5"/>
        <v>67914.007199999993</v>
      </c>
      <c r="I85" s="104"/>
      <c r="J85" s="104">
        <f t="shared" si="8"/>
        <v>67914.007199999993</v>
      </c>
      <c r="K85" s="104">
        <f t="shared" si="9"/>
        <v>6791.4007199999996</v>
      </c>
      <c r="L85" s="104"/>
      <c r="M85" s="153"/>
      <c r="N85" s="153"/>
      <c r="O85" s="105">
        <f t="shared" si="6"/>
        <v>1662.9286777668949</v>
      </c>
      <c r="P85" s="105">
        <f t="shared" si="7"/>
        <v>12645.01359878183</v>
      </c>
      <c r="Q85" s="105"/>
      <c r="R85" s="105"/>
      <c r="S85" s="105"/>
      <c r="T85" s="105"/>
      <c r="U85" s="105"/>
      <c r="V85" s="105"/>
      <c r="W85" s="105">
        <f t="shared" si="10"/>
        <v>89013.350196548723</v>
      </c>
      <c r="X85" s="105">
        <f t="shared" si="11"/>
        <v>1068.1602023585847</v>
      </c>
    </row>
    <row r="86" spans="1:24" s="147" customFormat="1" x14ac:dyDescent="0.25">
      <c r="A86" s="77">
        <v>75</v>
      </c>
      <c r="B86" s="142" t="s">
        <v>260</v>
      </c>
      <c r="C86" s="77">
        <v>1</v>
      </c>
      <c r="D86" s="77" t="s">
        <v>14</v>
      </c>
      <c r="E86" s="113">
        <v>3.29</v>
      </c>
      <c r="F86" s="104">
        <v>17697</v>
      </c>
      <c r="G86" s="76">
        <v>1.23</v>
      </c>
      <c r="H86" s="104">
        <f t="shared" si="5"/>
        <v>71614.449899999992</v>
      </c>
      <c r="I86" s="104"/>
      <c r="J86" s="104">
        <f t="shared" si="8"/>
        <v>71614.449899999992</v>
      </c>
      <c r="K86" s="104">
        <f t="shared" si="9"/>
        <v>7161.44499</v>
      </c>
      <c r="L86" s="104"/>
      <c r="M86" s="153"/>
      <c r="N86" s="153"/>
      <c r="O86" s="105">
        <f t="shared" si="6"/>
        <v>1753.5369711067578</v>
      </c>
      <c r="P86" s="105">
        <f t="shared" si="7"/>
        <v>13334.004724356482</v>
      </c>
      <c r="Q86" s="105"/>
      <c r="R86" s="105"/>
      <c r="S86" s="105"/>
      <c r="T86" s="105"/>
      <c r="U86" s="105"/>
      <c r="V86" s="105"/>
      <c r="W86" s="105">
        <f t="shared" si="10"/>
        <v>93863.436585463234</v>
      </c>
      <c r="X86" s="105">
        <f t="shared" si="11"/>
        <v>1126.3612390255589</v>
      </c>
    </row>
    <row r="87" spans="1:24" s="147" customFormat="1" x14ac:dyDescent="0.25">
      <c r="A87" s="77">
        <v>76</v>
      </c>
      <c r="B87" s="142" t="s">
        <v>7</v>
      </c>
      <c r="C87" s="77">
        <v>1</v>
      </c>
      <c r="D87" s="77" t="s">
        <v>14</v>
      </c>
      <c r="E87" s="113">
        <v>3.16</v>
      </c>
      <c r="F87" s="104">
        <v>17697</v>
      </c>
      <c r="G87" s="76">
        <v>1.23</v>
      </c>
      <c r="H87" s="104">
        <f t="shared" si="5"/>
        <v>68784.699600000007</v>
      </c>
      <c r="I87" s="104"/>
      <c r="J87" s="104">
        <f t="shared" si="8"/>
        <v>68784.699600000007</v>
      </c>
      <c r="K87" s="104">
        <f t="shared" si="9"/>
        <v>6878.4699600000013</v>
      </c>
      <c r="L87" s="104"/>
      <c r="M87" s="153"/>
      <c r="N87" s="153"/>
      <c r="O87" s="105"/>
      <c r="P87" s="153"/>
      <c r="Q87" s="105"/>
      <c r="R87" s="105"/>
      <c r="S87" s="105"/>
      <c r="T87" s="105"/>
      <c r="U87" s="105"/>
      <c r="V87" s="105"/>
      <c r="W87" s="105">
        <f t="shared" si="10"/>
        <v>75663.169560000009</v>
      </c>
      <c r="X87" s="105">
        <f t="shared" si="11"/>
        <v>907.95803472000011</v>
      </c>
    </row>
    <row r="88" spans="1:24" s="147" customFormat="1" x14ac:dyDescent="0.25">
      <c r="A88" s="77">
        <v>77</v>
      </c>
      <c r="B88" s="142" t="s">
        <v>273</v>
      </c>
      <c r="C88" s="77">
        <v>0.5</v>
      </c>
      <c r="D88" s="77" t="s">
        <v>14</v>
      </c>
      <c r="E88" s="113">
        <v>3.16</v>
      </c>
      <c r="F88" s="104">
        <v>17697</v>
      </c>
      <c r="G88" s="76">
        <v>1.23</v>
      </c>
      <c r="H88" s="104">
        <f t="shared" si="5"/>
        <v>34392.349800000004</v>
      </c>
      <c r="I88" s="104"/>
      <c r="J88" s="104">
        <f t="shared" si="8"/>
        <v>34392.349800000004</v>
      </c>
      <c r="K88" s="104">
        <f t="shared" si="9"/>
        <v>3439.2349800000006</v>
      </c>
      <c r="L88" s="104"/>
      <c r="M88" s="105">
        <f>SUM(C88*F88*0.2)</f>
        <v>1769.7</v>
      </c>
      <c r="N88" s="153"/>
      <c r="O88" s="105"/>
      <c r="P88" s="153"/>
      <c r="Q88" s="105"/>
      <c r="R88" s="105"/>
      <c r="S88" s="105"/>
      <c r="T88" s="105"/>
      <c r="U88" s="105"/>
      <c r="V88" s="105"/>
      <c r="W88" s="105">
        <f t="shared" si="10"/>
        <v>39601.284780000002</v>
      </c>
      <c r="X88" s="105">
        <f t="shared" si="11"/>
        <v>475.21541736</v>
      </c>
    </row>
    <row r="89" spans="1:24" s="147" customFormat="1" ht="22.5" customHeight="1" x14ac:dyDescent="0.25">
      <c r="A89" s="77">
        <v>78</v>
      </c>
      <c r="B89" s="142" t="s">
        <v>273</v>
      </c>
      <c r="C89" s="77">
        <v>0.5</v>
      </c>
      <c r="D89" s="77" t="s">
        <v>14</v>
      </c>
      <c r="E89" s="113">
        <v>2.94</v>
      </c>
      <c r="F89" s="104">
        <v>17697</v>
      </c>
      <c r="G89" s="76">
        <v>1.23</v>
      </c>
      <c r="H89" s="104">
        <f t="shared" si="5"/>
        <v>31997.9457</v>
      </c>
      <c r="I89" s="104"/>
      <c r="J89" s="104">
        <f t="shared" si="8"/>
        <v>31997.9457</v>
      </c>
      <c r="K89" s="104">
        <f t="shared" si="9"/>
        <v>3199.79457</v>
      </c>
      <c r="L89" s="104"/>
      <c r="M89" s="105">
        <f>SUM(C89*F89*0.2)</f>
        <v>1769.7</v>
      </c>
      <c r="N89" s="153"/>
      <c r="O89" s="105"/>
      <c r="P89" s="153"/>
      <c r="Q89" s="105"/>
      <c r="R89" s="105"/>
      <c r="S89" s="105"/>
      <c r="T89" s="105"/>
      <c r="U89" s="105"/>
      <c r="V89" s="105"/>
      <c r="W89" s="105">
        <f t="shared" si="10"/>
        <v>36967.440269999999</v>
      </c>
      <c r="X89" s="105">
        <f t="shared" si="11"/>
        <v>443.60928324000002</v>
      </c>
    </row>
    <row r="90" spans="1:24" s="147" customFormat="1" x14ac:dyDescent="0.25">
      <c r="A90" s="77">
        <v>79</v>
      </c>
      <c r="B90" s="142" t="s">
        <v>276</v>
      </c>
      <c r="C90" s="77">
        <v>1</v>
      </c>
      <c r="D90" s="77" t="s">
        <v>14</v>
      </c>
      <c r="E90" s="113">
        <v>2.94</v>
      </c>
      <c r="F90" s="104">
        <v>17697</v>
      </c>
      <c r="G90" s="76">
        <v>1.23</v>
      </c>
      <c r="H90" s="104">
        <f t="shared" si="5"/>
        <v>63995.8914</v>
      </c>
      <c r="I90" s="104"/>
      <c r="J90" s="104">
        <f t="shared" si="8"/>
        <v>63995.8914</v>
      </c>
      <c r="K90" s="104">
        <f t="shared" si="9"/>
        <v>6399.58914</v>
      </c>
      <c r="L90" s="104"/>
      <c r="M90" s="153"/>
      <c r="N90" s="153"/>
      <c r="O90" s="105"/>
      <c r="P90" s="153"/>
      <c r="Q90" s="105"/>
      <c r="R90" s="105"/>
      <c r="S90" s="105"/>
      <c r="T90" s="105"/>
      <c r="U90" s="105"/>
      <c r="V90" s="105"/>
      <c r="W90" s="105">
        <f t="shared" si="10"/>
        <v>70395.480540000004</v>
      </c>
      <c r="X90" s="105">
        <f t="shared" si="11"/>
        <v>844.74576648000004</v>
      </c>
    </row>
    <row r="91" spans="1:24" s="147" customFormat="1" x14ac:dyDescent="0.25">
      <c r="A91" s="77">
        <v>80</v>
      </c>
      <c r="B91" s="142" t="s">
        <v>317</v>
      </c>
      <c r="C91" s="77">
        <v>1</v>
      </c>
      <c r="D91" s="77" t="s">
        <v>14</v>
      </c>
      <c r="E91" s="113">
        <v>2.94</v>
      </c>
      <c r="F91" s="104">
        <v>17697</v>
      </c>
      <c r="G91" s="76">
        <v>1.23</v>
      </c>
      <c r="H91" s="104">
        <f t="shared" si="5"/>
        <v>63995.8914</v>
      </c>
      <c r="I91" s="104"/>
      <c r="J91" s="104">
        <f>H91+I91</f>
        <v>63995.8914</v>
      </c>
      <c r="K91" s="104">
        <f>J91*10%</f>
        <v>6399.58914</v>
      </c>
      <c r="L91" s="104"/>
      <c r="M91" s="153"/>
      <c r="N91" s="153"/>
      <c r="O91" s="105"/>
      <c r="P91" s="153"/>
      <c r="Q91" s="105"/>
      <c r="R91" s="105"/>
      <c r="S91" s="105"/>
      <c r="T91" s="105"/>
      <c r="U91" s="105"/>
      <c r="V91" s="105"/>
      <c r="W91" s="105">
        <f t="shared" si="10"/>
        <v>70395.480540000004</v>
      </c>
      <c r="X91" s="105">
        <f t="shared" si="11"/>
        <v>844.74576648000004</v>
      </c>
    </row>
    <row r="92" spans="1:24" s="147" customFormat="1" x14ac:dyDescent="0.25">
      <c r="A92" s="77">
        <v>81</v>
      </c>
      <c r="B92" s="142" t="s">
        <v>278</v>
      </c>
      <c r="C92" s="103">
        <v>1</v>
      </c>
      <c r="D92" s="103">
        <v>5</v>
      </c>
      <c r="E92" s="157">
        <v>2.92</v>
      </c>
      <c r="F92" s="104">
        <v>17697</v>
      </c>
      <c r="G92" s="205">
        <v>1.23</v>
      </c>
      <c r="H92" s="104">
        <f t="shared" si="5"/>
        <v>63560.545199999993</v>
      </c>
      <c r="I92" s="104"/>
      <c r="J92" s="104">
        <f t="shared" si="8"/>
        <v>63560.545199999993</v>
      </c>
      <c r="K92" s="104">
        <f t="shared" si="9"/>
        <v>6356.0545199999997</v>
      </c>
      <c r="L92" s="104"/>
      <c r="M92" s="105">
        <f>17697*30%</f>
        <v>5309.0999999999995</v>
      </c>
      <c r="N92" s="153"/>
      <c r="O92" s="105"/>
      <c r="P92" s="153"/>
      <c r="Q92" s="105"/>
      <c r="R92" s="105"/>
      <c r="S92" s="105"/>
      <c r="T92" s="105"/>
      <c r="U92" s="105"/>
      <c r="V92" s="105"/>
      <c r="W92" s="105">
        <f t="shared" si="10"/>
        <v>75225.699720000004</v>
      </c>
      <c r="X92" s="105">
        <f t="shared" si="11"/>
        <v>902.70839664000005</v>
      </c>
    </row>
    <row r="93" spans="1:24" s="147" customFormat="1" x14ac:dyDescent="0.25">
      <c r="A93" s="77">
        <v>82</v>
      </c>
      <c r="B93" s="142" t="s">
        <v>280</v>
      </c>
      <c r="C93" s="77">
        <v>1</v>
      </c>
      <c r="D93" s="77">
        <v>5</v>
      </c>
      <c r="E93" s="113">
        <v>2.92</v>
      </c>
      <c r="F93" s="104">
        <v>17697</v>
      </c>
      <c r="G93" s="76">
        <v>1.23</v>
      </c>
      <c r="H93" s="104">
        <f t="shared" si="5"/>
        <v>63560.545199999993</v>
      </c>
      <c r="I93" s="104"/>
      <c r="J93" s="104">
        <f t="shared" si="8"/>
        <v>63560.545199999993</v>
      </c>
      <c r="K93" s="104">
        <f t="shared" si="9"/>
        <v>6356.0545199999997</v>
      </c>
      <c r="L93" s="104"/>
      <c r="M93" s="153"/>
      <c r="N93" s="153"/>
      <c r="O93" s="105"/>
      <c r="P93" s="153"/>
      <c r="Q93" s="105"/>
      <c r="R93" s="105"/>
      <c r="S93" s="105"/>
      <c r="T93" s="105"/>
      <c r="U93" s="105"/>
      <c r="V93" s="105"/>
      <c r="W93" s="105">
        <f t="shared" si="10"/>
        <v>69916.599719999998</v>
      </c>
      <c r="X93" s="105">
        <f t="shared" si="11"/>
        <v>838.99919664000004</v>
      </c>
    </row>
    <row r="94" spans="1:24" s="147" customFormat="1" x14ac:dyDescent="0.25">
      <c r="A94" s="77">
        <v>83</v>
      </c>
      <c r="B94" s="142" t="s">
        <v>282</v>
      </c>
      <c r="C94" s="77">
        <v>1</v>
      </c>
      <c r="D94" s="77">
        <v>2</v>
      </c>
      <c r="E94" s="113">
        <v>2.81</v>
      </c>
      <c r="F94" s="104">
        <v>17697</v>
      </c>
      <c r="G94" s="76">
        <v>1.23</v>
      </c>
      <c r="H94" s="104">
        <f t="shared" si="5"/>
        <v>61166.141100000001</v>
      </c>
      <c r="I94" s="104"/>
      <c r="J94" s="104">
        <f t="shared" si="8"/>
        <v>61166.141100000001</v>
      </c>
      <c r="K94" s="104">
        <f t="shared" si="9"/>
        <v>6116.6141100000004</v>
      </c>
      <c r="L94" s="104"/>
      <c r="M94" s="153"/>
      <c r="N94" s="153"/>
      <c r="O94" s="105"/>
      <c r="P94" s="153"/>
      <c r="Q94" s="105"/>
      <c r="R94" s="105"/>
      <c r="S94" s="105"/>
      <c r="T94" s="105"/>
      <c r="U94" s="105"/>
      <c r="V94" s="105"/>
      <c r="W94" s="105">
        <f t="shared" si="10"/>
        <v>67282.755210000003</v>
      </c>
      <c r="X94" s="105">
        <f t="shared" si="11"/>
        <v>807.39306252000006</v>
      </c>
    </row>
    <row r="95" spans="1:24" s="147" customFormat="1" x14ac:dyDescent="0.25">
      <c r="A95" s="77">
        <v>84</v>
      </c>
      <c r="B95" s="142" t="s">
        <v>8</v>
      </c>
      <c r="C95" s="77">
        <v>1</v>
      </c>
      <c r="D95" s="77">
        <v>5</v>
      </c>
      <c r="E95" s="113">
        <v>2.92</v>
      </c>
      <c r="F95" s="104">
        <v>17697</v>
      </c>
      <c r="G95" s="76">
        <v>1.23</v>
      </c>
      <c r="H95" s="104">
        <f t="shared" si="5"/>
        <v>63560.545199999993</v>
      </c>
      <c r="I95" s="104"/>
      <c r="J95" s="104">
        <f t="shared" si="8"/>
        <v>63560.545199999993</v>
      </c>
      <c r="K95" s="104">
        <f t="shared" si="9"/>
        <v>6356.0545199999997</v>
      </c>
      <c r="L95" s="104"/>
      <c r="M95" s="153"/>
      <c r="N95" s="153"/>
      <c r="O95" s="105"/>
      <c r="P95" s="153"/>
      <c r="Q95" s="105"/>
      <c r="R95" s="105"/>
      <c r="S95" s="105"/>
      <c r="T95" s="105"/>
      <c r="U95" s="105"/>
      <c r="V95" s="105"/>
      <c r="W95" s="105">
        <f t="shared" si="10"/>
        <v>69916.599719999998</v>
      </c>
      <c r="X95" s="105">
        <f t="shared" si="11"/>
        <v>838.99919664000004</v>
      </c>
    </row>
    <row r="96" spans="1:24" s="147" customFormat="1" ht="26" x14ac:dyDescent="0.25">
      <c r="A96" s="77">
        <v>85</v>
      </c>
      <c r="B96" s="142" t="s">
        <v>283</v>
      </c>
      <c r="C96" s="77">
        <v>1.5</v>
      </c>
      <c r="D96" s="77">
        <v>2</v>
      </c>
      <c r="E96" s="113">
        <v>2.81</v>
      </c>
      <c r="F96" s="104">
        <v>17697</v>
      </c>
      <c r="G96" s="76">
        <v>1.23</v>
      </c>
      <c r="H96" s="104">
        <f t="shared" si="5"/>
        <v>91749.211649999997</v>
      </c>
      <c r="I96" s="104"/>
      <c r="J96" s="104">
        <f t="shared" si="8"/>
        <v>91749.211649999997</v>
      </c>
      <c r="K96" s="104">
        <f t="shared" si="9"/>
        <v>9174.9211649999997</v>
      </c>
      <c r="L96" s="104"/>
      <c r="M96" s="153">
        <f t="shared" ref="M96:M109" si="12">F96*30%*C96</f>
        <v>7963.65</v>
      </c>
      <c r="N96" s="153"/>
      <c r="O96" s="105"/>
      <c r="P96" s="153"/>
      <c r="Q96" s="105"/>
      <c r="R96" s="105"/>
      <c r="S96" s="105"/>
      <c r="T96" s="105"/>
      <c r="U96" s="105"/>
      <c r="V96" s="105"/>
      <c r="W96" s="105">
        <f t="shared" si="10"/>
        <v>108887.78281499998</v>
      </c>
      <c r="X96" s="105">
        <f t="shared" si="11"/>
        <v>1306.6533937799998</v>
      </c>
    </row>
    <row r="97" spans="1:24" s="147" customFormat="1" ht="26" x14ac:dyDescent="0.25">
      <c r="A97" s="77">
        <v>86</v>
      </c>
      <c r="B97" s="142" t="s">
        <v>283</v>
      </c>
      <c r="C97" s="77">
        <v>1.5</v>
      </c>
      <c r="D97" s="77">
        <v>2</v>
      </c>
      <c r="E97" s="116">
        <v>2.81</v>
      </c>
      <c r="F97" s="104">
        <v>17697</v>
      </c>
      <c r="G97" s="76">
        <v>1.23</v>
      </c>
      <c r="H97" s="104">
        <f t="shared" si="5"/>
        <v>91749.211649999997</v>
      </c>
      <c r="I97" s="104"/>
      <c r="J97" s="104">
        <f t="shared" si="8"/>
        <v>91749.211649999997</v>
      </c>
      <c r="K97" s="104">
        <f t="shared" si="9"/>
        <v>9174.9211649999997</v>
      </c>
      <c r="L97" s="104"/>
      <c r="M97" s="153">
        <f t="shared" si="12"/>
        <v>7963.65</v>
      </c>
      <c r="N97" s="153"/>
      <c r="O97" s="105"/>
      <c r="P97" s="153"/>
      <c r="Q97" s="105"/>
      <c r="R97" s="105"/>
      <c r="S97" s="105"/>
      <c r="T97" s="105"/>
      <c r="U97" s="105"/>
      <c r="V97" s="105"/>
      <c r="W97" s="105">
        <f t="shared" si="10"/>
        <v>108887.78281499998</v>
      </c>
      <c r="X97" s="105">
        <f t="shared" si="11"/>
        <v>1306.6533937799998</v>
      </c>
    </row>
    <row r="98" spans="1:24" s="147" customFormat="1" ht="26" x14ac:dyDescent="0.25">
      <c r="A98" s="77">
        <v>87</v>
      </c>
      <c r="B98" s="142" t="s">
        <v>283</v>
      </c>
      <c r="C98" s="77">
        <v>1.5</v>
      </c>
      <c r="D98" s="77">
        <v>2</v>
      </c>
      <c r="E98" s="113">
        <v>2.81</v>
      </c>
      <c r="F98" s="104">
        <v>17697</v>
      </c>
      <c r="G98" s="76">
        <v>1.23</v>
      </c>
      <c r="H98" s="104">
        <f t="shared" si="5"/>
        <v>91749.211649999997</v>
      </c>
      <c r="I98" s="104"/>
      <c r="J98" s="104">
        <f t="shared" si="8"/>
        <v>91749.211649999997</v>
      </c>
      <c r="K98" s="104">
        <f t="shared" si="9"/>
        <v>9174.9211649999997</v>
      </c>
      <c r="L98" s="104"/>
      <c r="M98" s="153">
        <f t="shared" si="12"/>
        <v>7963.65</v>
      </c>
      <c r="N98" s="153"/>
      <c r="O98" s="105"/>
      <c r="P98" s="153"/>
      <c r="Q98" s="105"/>
      <c r="R98" s="105"/>
      <c r="S98" s="105"/>
      <c r="T98" s="105"/>
      <c r="U98" s="105"/>
      <c r="V98" s="105"/>
      <c r="W98" s="105">
        <f t="shared" si="10"/>
        <v>108887.78281499998</v>
      </c>
      <c r="X98" s="105">
        <f t="shared" si="11"/>
        <v>1306.6533937799998</v>
      </c>
    </row>
    <row r="99" spans="1:24" s="147" customFormat="1" ht="26" x14ac:dyDescent="0.25">
      <c r="A99" s="77">
        <v>88</v>
      </c>
      <c r="B99" s="142" t="s">
        <v>283</v>
      </c>
      <c r="C99" s="77">
        <v>1.5</v>
      </c>
      <c r="D99" s="77">
        <v>2</v>
      </c>
      <c r="E99" s="113">
        <v>2.81</v>
      </c>
      <c r="F99" s="104">
        <v>17697</v>
      </c>
      <c r="G99" s="76">
        <v>1.23</v>
      </c>
      <c r="H99" s="104">
        <f t="shared" si="5"/>
        <v>91749.211649999997</v>
      </c>
      <c r="I99" s="104"/>
      <c r="J99" s="104">
        <f t="shared" si="8"/>
        <v>91749.211649999997</v>
      </c>
      <c r="K99" s="104">
        <f t="shared" si="9"/>
        <v>9174.9211649999997</v>
      </c>
      <c r="L99" s="104"/>
      <c r="M99" s="153">
        <f t="shared" si="12"/>
        <v>7963.65</v>
      </c>
      <c r="N99" s="153"/>
      <c r="O99" s="105"/>
      <c r="P99" s="153"/>
      <c r="Q99" s="105"/>
      <c r="R99" s="105"/>
      <c r="S99" s="105"/>
      <c r="T99" s="105"/>
      <c r="U99" s="105"/>
      <c r="V99" s="105"/>
      <c r="W99" s="105">
        <f t="shared" si="10"/>
        <v>108887.78281499998</v>
      </c>
      <c r="X99" s="105">
        <f t="shared" si="11"/>
        <v>1306.6533937799998</v>
      </c>
    </row>
    <row r="100" spans="1:24" s="147" customFormat="1" ht="26" x14ac:dyDescent="0.25">
      <c r="A100" s="77">
        <v>89</v>
      </c>
      <c r="B100" s="142" t="s">
        <v>283</v>
      </c>
      <c r="C100" s="77">
        <v>1.5</v>
      </c>
      <c r="D100" s="77">
        <v>2</v>
      </c>
      <c r="E100" s="113">
        <v>2.81</v>
      </c>
      <c r="F100" s="104">
        <v>17697</v>
      </c>
      <c r="G100" s="76">
        <v>1.23</v>
      </c>
      <c r="H100" s="104">
        <f t="shared" si="5"/>
        <v>91749.211649999997</v>
      </c>
      <c r="I100" s="104"/>
      <c r="J100" s="104">
        <f t="shared" si="8"/>
        <v>91749.211649999997</v>
      </c>
      <c r="K100" s="104">
        <f t="shared" si="9"/>
        <v>9174.9211649999997</v>
      </c>
      <c r="L100" s="104"/>
      <c r="M100" s="153">
        <f t="shared" si="12"/>
        <v>7963.65</v>
      </c>
      <c r="N100" s="153"/>
      <c r="O100" s="105"/>
      <c r="P100" s="153"/>
      <c r="Q100" s="105"/>
      <c r="R100" s="105"/>
      <c r="S100" s="105"/>
      <c r="T100" s="105"/>
      <c r="U100" s="105"/>
      <c r="V100" s="105"/>
      <c r="W100" s="105">
        <f t="shared" si="10"/>
        <v>108887.78281499998</v>
      </c>
      <c r="X100" s="105">
        <f t="shared" si="11"/>
        <v>1306.6533937799998</v>
      </c>
    </row>
    <row r="101" spans="1:24" s="147" customFormat="1" ht="26" x14ac:dyDescent="0.25">
      <c r="A101" s="77">
        <v>90</v>
      </c>
      <c r="B101" s="142" t="s">
        <v>283</v>
      </c>
      <c r="C101" s="77">
        <v>1.5</v>
      </c>
      <c r="D101" s="77">
        <v>2</v>
      </c>
      <c r="E101" s="113">
        <v>2.81</v>
      </c>
      <c r="F101" s="104">
        <v>17697</v>
      </c>
      <c r="G101" s="76">
        <v>1.23</v>
      </c>
      <c r="H101" s="104">
        <f t="shared" si="5"/>
        <v>91749.211649999997</v>
      </c>
      <c r="I101" s="104"/>
      <c r="J101" s="104">
        <f t="shared" si="8"/>
        <v>91749.211649999997</v>
      </c>
      <c r="K101" s="104">
        <f t="shared" si="9"/>
        <v>9174.9211649999997</v>
      </c>
      <c r="L101" s="104"/>
      <c r="M101" s="153">
        <f t="shared" si="12"/>
        <v>7963.65</v>
      </c>
      <c r="N101" s="153"/>
      <c r="O101" s="105"/>
      <c r="P101" s="153"/>
      <c r="Q101" s="105"/>
      <c r="R101" s="105"/>
      <c r="S101" s="105"/>
      <c r="T101" s="105"/>
      <c r="U101" s="105"/>
      <c r="V101" s="105"/>
      <c r="W101" s="105">
        <f t="shared" si="10"/>
        <v>108887.78281499998</v>
      </c>
      <c r="X101" s="105">
        <f t="shared" si="11"/>
        <v>1306.6533937799998</v>
      </c>
    </row>
    <row r="102" spans="1:24" s="147" customFormat="1" ht="26" x14ac:dyDescent="0.25">
      <c r="A102" s="77">
        <v>91</v>
      </c>
      <c r="B102" s="142" t="s">
        <v>283</v>
      </c>
      <c r="C102" s="77">
        <v>1.5</v>
      </c>
      <c r="D102" s="77">
        <v>2</v>
      </c>
      <c r="E102" s="113">
        <v>2.81</v>
      </c>
      <c r="F102" s="104">
        <v>17697</v>
      </c>
      <c r="G102" s="76">
        <v>1.23</v>
      </c>
      <c r="H102" s="104">
        <f t="shared" si="5"/>
        <v>91749.211649999997</v>
      </c>
      <c r="I102" s="104"/>
      <c r="J102" s="104">
        <f t="shared" si="8"/>
        <v>91749.211649999997</v>
      </c>
      <c r="K102" s="104">
        <f t="shared" si="9"/>
        <v>9174.9211649999997</v>
      </c>
      <c r="L102" s="104"/>
      <c r="M102" s="153">
        <f t="shared" si="12"/>
        <v>7963.65</v>
      </c>
      <c r="N102" s="153"/>
      <c r="O102" s="105"/>
      <c r="P102" s="153"/>
      <c r="Q102" s="105"/>
      <c r="R102" s="105"/>
      <c r="S102" s="105"/>
      <c r="T102" s="105"/>
      <c r="U102" s="105"/>
      <c r="V102" s="105"/>
      <c r="W102" s="105">
        <f t="shared" si="10"/>
        <v>108887.78281499998</v>
      </c>
      <c r="X102" s="105">
        <f t="shared" si="11"/>
        <v>1306.6533937799998</v>
      </c>
    </row>
    <row r="103" spans="1:24" s="147" customFormat="1" ht="26" x14ac:dyDescent="0.25">
      <c r="A103" s="77">
        <v>92</v>
      </c>
      <c r="B103" s="142" t="s">
        <v>283</v>
      </c>
      <c r="C103" s="77">
        <v>1.5</v>
      </c>
      <c r="D103" s="77">
        <v>2</v>
      </c>
      <c r="E103" s="113">
        <v>2.81</v>
      </c>
      <c r="F103" s="104">
        <v>17697</v>
      </c>
      <c r="G103" s="76">
        <v>1.23</v>
      </c>
      <c r="H103" s="104">
        <f t="shared" si="5"/>
        <v>91749.211649999997</v>
      </c>
      <c r="I103" s="104"/>
      <c r="J103" s="104">
        <f t="shared" si="8"/>
        <v>91749.211649999997</v>
      </c>
      <c r="K103" s="104">
        <f t="shared" si="9"/>
        <v>9174.9211649999997</v>
      </c>
      <c r="L103" s="104"/>
      <c r="M103" s="153">
        <f t="shared" si="12"/>
        <v>7963.65</v>
      </c>
      <c r="N103" s="153"/>
      <c r="O103" s="105"/>
      <c r="P103" s="153"/>
      <c r="Q103" s="105"/>
      <c r="R103" s="105"/>
      <c r="S103" s="105"/>
      <c r="T103" s="105"/>
      <c r="U103" s="105"/>
      <c r="V103" s="105"/>
      <c r="W103" s="105">
        <f t="shared" si="10"/>
        <v>108887.78281499998</v>
      </c>
      <c r="X103" s="105">
        <f t="shared" si="11"/>
        <v>1306.6533937799998</v>
      </c>
    </row>
    <row r="104" spans="1:24" s="147" customFormat="1" ht="26" x14ac:dyDescent="0.25">
      <c r="A104" s="77">
        <v>93</v>
      </c>
      <c r="B104" s="142" t="s">
        <v>283</v>
      </c>
      <c r="C104" s="77">
        <v>1</v>
      </c>
      <c r="D104" s="77">
        <v>2</v>
      </c>
      <c r="E104" s="113">
        <v>2.8140000000000001</v>
      </c>
      <c r="F104" s="104">
        <v>17697</v>
      </c>
      <c r="G104" s="76">
        <v>1.23</v>
      </c>
      <c r="H104" s="104">
        <f t="shared" si="5"/>
        <v>61253.210339999998</v>
      </c>
      <c r="I104" s="104"/>
      <c r="J104" s="104">
        <f t="shared" si="8"/>
        <v>61253.210339999998</v>
      </c>
      <c r="K104" s="104">
        <f t="shared" si="9"/>
        <v>6125.3210340000005</v>
      </c>
      <c r="L104" s="104"/>
      <c r="M104" s="153">
        <f t="shared" si="12"/>
        <v>5309.0999999999995</v>
      </c>
      <c r="N104" s="153"/>
      <c r="O104" s="105"/>
      <c r="P104" s="153"/>
      <c r="Q104" s="105"/>
      <c r="R104" s="105"/>
      <c r="S104" s="105"/>
      <c r="T104" s="105"/>
      <c r="U104" s="105"/>
      <c r="V104" s="105"/>
      <c r="W104" s="105">
        <f t="shared" si="10"/>
        <v>72687.631374000004</v>
      </c>
      <c r="X104" s="105">
        <f t="shared" si="11"/>
        <v>872.25157648800007</v>
      </c>
    </row>
    <row r="105" spans="1:24" s="147" customFormat="1" ht="26" x14ac:dyDescent="0.25">
      <c r="A105" s="77">
        <v>94</v>
      </c>
      <c r="B105" s="142" t="s">
        <v>283</v>
      </c>
      <c r="C105" s="77">
        <v>0.5</v>
      </c>
      <c r="D105" s="77">
        <v>2</v>
      </c>
      <c r="E105" s="113">
        <v>2.8140000000000001</v>
      </c>
      <c r="F105" s="104">
        <v>17697</v>
      </c>
      <c r="G105" s="76">
        <v>1.23</v>
      </c>
      <c r="H105" s="104">
        <f t="shared" si="5"/>
        <v>30626.605169999999</v>
      </c>
      <c r="I105" s="104"/>
      <c r="J105" s="104">
        <f t="shared" si="8"/>
        <v>30626.605169999999</v>
      </c>
      <c r="K105" s="104">
        <f t="shared" si="9"/>
        <v>3062.6605170000003</v>
      </c>
      <c r="L105" s="104"/>
      <c r="M105" s="153">
        <f t="shared" si="12"/>
        <v>2654.5499999999997</v>
      </c>
      <c r="N105" s="153"/>
      <c r="O105" s="105"/>
      <c r="P105" s="153"/>
      <c r="Q105" s="105"/>
      <c r="R105" s="105"/>
      <c r="S105" s="105"/>
      <c r="T105" s="105"/>
      <c r="U105" s="105"/>
      <c r="V105" s="105"/>
      <c r="W105" s="105">
        <f t="shared" si="10"/>
        <v>36343.815687000002</v>
      </c>
      <c r="X105" s="105">
        <f t="shared" si="11"/>
        <v>436.12578824400003</v>
      </c>
    </row>
    <row r="106" spans="1:24" s="147" customFormat="1" ht="26" x14ac:dyDescent="0.25">
      <c r="A106" s="77">
        <v>95</v>
      </c>
      <c r="B106" s="142" t="s">
        <v>283</v>
      </c>
      <c r="C106" s="77">
        <v>1.5</v>
      </c>
      <c r="D106" s="77">
        <v>2</v>
      </c>
      <c r="E106" s="113">
        <v>2.8140000000000001</v>
      </c>
      <c r="F106" s="104">
        <v>17697</v>
      </c>
      <c r="G106" s="76">
        <v>1.23</v>
      </c>
      <c r="H106" s="104">
        <f t="shared" si="5"/>
        <v>91879.81551</v>
      </c>
      <c r="I106" s="104"/>
      <c r="J106" s="104">
        <f t="shared" si="8"/>
        <v>91879.81551</v>
      </c>
      <c r="K106" s="104">
        <f t="shared" si="9"/>
        <v>9187.9815510000008</v>
      </c>
      <c r="L106" s="104"/>
      <c r="M106" s="153">
        <f t="shared" si="12"/>
        <v>7963.65</v>
      </c>
      <c r="N106" s="153"/>
      <c r="O106" s="105"/>
      <c r="P106" s="153"/>
      <c r="Q106" s="105"/>
      <c r="R106" s="105"/>
      <c r="S106" s="105"/>
      <c r="T106" s="105"/>
      <c r="U106" s="105"/>
      <c r="V106" s="105"/>
      <c r="W106" s="105">
        <f t="shared" si="10"/>
        <v>109031.447061</v>
      </c>
      <c r="X106" s="105">
        <f t="shared" si="11"/>
        <v>1308.3773647319999</v>
      </c>
    </row>
    <row r="107" spans="1:24" s="147" customFormat="1" ht="26" x14ac:dyDescent="0.25">
      <c r="A107" s="77">
        <v>96</v>
      </c>
      <c r="B107" s="142" t="s">
        <v>283</v>
      </c>
      <c r="C107" s="77">
        <v>1.5</v>
      </c>
      <c r="D107" s="77">
        <v>2</v>
      </c>
      <c r="E107" s="113">
        <v>2.8140000000000001</v>
      </c>
      <c r="F107" s="104">
        <v>17697</v>
      </c>
      <c r="G107" s="76">
        <v>1.23</v>
      </c>
      <c r="H107" s="104">
        <f t="shared" si="5"/>
        <v>91879.81551</v>
      </c>
      <c r="I107" s="104"/>
      <c r="J107" s="104">
        <f t="shared" si="8"/>
        <v>91879.81551</v>
      </c>
      <c r="K107" s="104">
        <f t="shared" si="9"/>
        <v>9187.9815510000008</v>
      </c>
      <c r="L107" s="104"/>
      <c r="M107" s="153">
        <f t="shared" si="12"/>
        <v>7963.65</v>
      </c>
      <c r="N107" s="153"/>
      <c r="O107" s="105"/>
      <c r="P107" s="153"/>
      <c r="Q107" s="105"/>
      <c r="R107" s="105"/>
      <c r="S107" s="105"/>
      <c r="T107" s="105"/>
      <c r="U107" s="105"/>
      <c r="V107" s="105"/>
      <c r="W107" s="105">
        <f t="shared" si="10"/>
        <v>109031.447061</v>
      </c>
      <c r="X107" s="105">
        <f t="shared" si="11"/>
        <v>1308.3773647319999</v>
      </c>
    </row>
    <row r="108" spans="1:24" s="147" customFormat="1" x14ac:dyDescent="0.25">
      <c r="A108" s="77">
        <v>97</v>
      </c>
      <c r="B108" s="142" t="s">
        <v>295</v>
      </c>
      <c r="C108" s="77">
        <v>1.5</v>
      </c>
      <c r="D108" s="77">
        <v>2</v>
      </c>
      <c r="E108" s="113">
        <v>2.81</v>
      </c>
      <c r="F108" s="104">
        <v>17697</v>
      </c>
      <c r="G108" s="76">
        <v>1.23</v>
      </c>
      <c r="H108" s="104">
        <f t="shared" si="5"/>
        <v>91749.211649999997</v>
      </c>
      <c r="I108" s="104"/>
      <c r="J108" s="104">
        <f t="shared" si="8"/>
        <v>91749.211649999997</v>
      </c>
      <c r="K108" s="104">
        <f t="shared" si="9"/>
        <v>9174.9211649999997</v>
      </c>
      <c r="L108" s="104"/>
      <c r="M108" s="153">
        <f t="shared" si="12"/>
        <v>7963.65</v>
      </c>
      <c r="N108" s="153"/>
      <c r="O108" s="105"/>
      <c r="P108" s="153"/>
      <c r="Q108" s="105"/>
      <c r="R108" s="105"/>
      <c r="S108" s="105"/>
      <c r="T108" s="105"/>
      <c r="U108" s="105"/>
      <c r="V108" s="105"/>
      <c r="W108" s="105">
        <f t="shared" si="10"/>
        <v>108887.78281499998</v>
      </c>
      <c r="X108" s="105">
        <f t="shared" si="11"/>
        <v>1306.6533937799998</v>
      </c>
    </row>
    <row r="109" spans="1:24" s="147" customFormat="1" ht="24" customHeight="1" x14ac:dyDescent="0.25">
      <c r="A109" s="77">
        <v>98</v>
      </c>
      <c r="B109" s="142" t="s">
        <v>295</v>
      </c>
      <c r="C109" s="77">
        <v>0.5</v>
      </c>
      <c r="D109" s="77">
        <v>2</v>
      </c>
      <c r="E109" s="113">
        <v>2.81</v>
      </c>
      <c r="F109" s="104">
        <v>17697</v>
      </c>
      <c r="G109" s="76">
        <v>1.23</v>
      </c>
      <c r="H109" s="104">
        <f t="shared" si="5"/>
        <v>30583.07055</v>
      </c>
      <c r="I109" s="104"/>
      <c r="J109" s="104">
        <f t="shared" si="8"/>
        <v>30583.07055</v>
      </c>
      <c r="K109" s="104">
        <f t="shared" si="9"/>
        <v>3058.3070550000002</v>
      </c>
      <c r="L109" s="104"/>
      <c r="M109" s="153">
        <f t="shared" si="12"/>
        <v>2654.5499999999997</v>
      </c>
      <c r="N109" s="153"/>
      <c r="O109" s="105"/>
      <c r="P109" s="153"/>
      <c r="Q109" s="105"/>
      <c r="R109" s="105"/>
      <c r="S109" s="105"/>
      <c r="T109" s="105"/>
      <c r="U109" s="105"/>
      <c r="V109" s="105"/>
      <c r="W109" s="105">
        <f t="shared" si="10"/>
        <v>36295.927605000004</v>
      </c>
      <c r="X109" s="105">
        <f t="shared" si="11"/>
        <v>435.55113126000003</v>
      </c>
    </row>
    <row r="110" spans="1:24" s="147" customFormat="1" ht="39" x14ac:dyDescent="0.25">
      <c r="A110" s="77">
        <v>99</v>
      </c>
      <c r="B110" s="142" t="s">
        <v>297</v>
      </c>
      <c r="C110" s="77">
        <v>0.5</v>
      </c>
      <c r="D110" s="77">
        <v>2</v>
      </c>
      <c r="E110" s="113">
        <v>2.81</v>
      </c>
      <c r="F110" s="104">
        <v>17697</v>
      </c>
      <c r="G110" s="76">
        <v>1.23</v>
      </c>
      <c r="H110" s="104">
        <f t="shared" si="5"/>
        <v>30583.07055</v>
      </c>
      <c r="I110" s="104"/>
      <c r="J110" s="104">
        <f t="shared" si="8"/>
        <v>30583.07055</v>
      </c>
      <c r="K110" s="104">
        <f t="shared" si="9"/>
        <v>3058.3070550000002</v>
      </c>
      <c r="L110" s="104"/>
      <c r="M110" s="153"/>
      <c r="N110" s="153"/>
      <c r="O110" s="105"/>
      <c r="P110" s="153"/>
      <c r="Q110" s="105"/>
      <c r="R110" s="105"/>
      <c r="S110" s="105"/>
      <c r="T110" s="105"/>
      <c r="U110" s="105"/>
      <c r="V110" s="105"/>
      <c r="W110" s="105">
        <f t="shared" si="10"/>
        <v>33641.377605000001</v>
      </c>
      <c r="X110" s="105">
        <f t="shared" si="11"/>
        <v>403.69653126000003</v>
      </c>
    </row>
    <row r="111" spans="1:24" s="147" customFormat="1" ht="39" x14ac:dyDescent="0.25">
      <c r="A111" s="77">
        <v>100</v>
      </c>
      <c r="B111" s="142" t="s">
        <v>297</v>
      </c>
      <c r="C111" s="77">
        <v>1.5</v>
      </c>
      <c r="D111" s="77">
        <v>2</v>
      </c>
      <c r="E111" s="113">
        <v>2.81</v>
      </c>
      <c r="F111" s="104">
        <v>17697</v>
      </c>
      <c r="G111" s="76">
        <v>1.23</v>
      </c>
      <c r="H111" s="104">
        <f t="shared" si="5"/>
        <v>91749.211649999997</v>
      </c>
      <c r="I111" s="104"/>
      <c r="J111" s="104">
        <f t="shared" si="8"/>
        <v>91749.211649999997</v>
      </c>
      <c r="K111" s="104">
        <f t="shared" si="9"/>
        <v>9174.9211649999997</v>
      </c>
      <c r="L111" s="104"/>
      <c r="M111" s="153"/>
      <c r="N111" s="153"/>
      <c r="O111" s="105"/>
      <c r="P111" s="153"/>
      <c r="Q111" s="105"/>
      <c r="R111" s="105"/>
      <c r="S111" s="105"/>
      <c r="T111" s="105"/>
      <c r="U111" s="105"/>
      <c r="V111" s="105"/>
      <c r="W111" s="105">
        <f t="shared" si="10"/>
        <v>100924.13281499999</v>
      </c>
      <c r="X111" s="105">
        <f t="shared" si="11"/>
        <v>1211.0895937799999</v>
      </c>
    </row>
    <row r="112" spans="1:24" s="147" customFormat="1" ht="39" x14ac:dyDescent="0.25">
      <c r="A112" s="77">
        <v>101</v>
      </c>
      <c r="B112" s="142" t="s">
        <v>297</v>
      </c>
      <c r="C112" s="77">
        <v>1.5</v>
      </c>
      <c r="D112" s="78">
        <v>2</v>
      </c>
      <c r="E112" s="113">
        <v>2.81</v>
      </c>
      <c r="F112" s="104">
        <v>17697</v>
      </c>
      <c r="G112" s="76">
        <v>1.23</v>
      </c>
      <c r="H112" s="104">
        <f t="shared" si="5"/>
        <v>91749.211649999997</v>
      </c>
      <c r="I112" s="104"/>
      <c r="J112" s="104">
        <f t="shared" si="8"/>
        <v>91749.211649999997</v>
      </c>
      <c r="K112" s="104">
        <f t="shared" si="9"/>
        <v>9174.9211649999997</v>
      </c>
      <c r="L112" s="104"/>
      <c r="M112" s="153"/>
      <c r="N112" s="153"/>
      <c r="O112" s="105"/>
      <c r="P112" s="153"/>
      <c r="Q112" s="105"/>
      <c r="R112" s="105"/>
      <c r="S112" s="105"/>
      <c r="T112" s="105"/>
      <c r="U112" s="105"/>
      <c r="V112" s="105"/>
      <c r="W112" s="105">
        <f t="shared" si="10"/>
        <v>100924.13281499999</v>
      </c>
      <c r="X112" s="105">
        <f t="shared" si="11"/>
        <v>1211.0895937799999</v>
      </c>
    </row>
    <row r="113" spans="1:24" s="147" customFormat="1" ht="39" x14ac:dyDescent="0.25">
      <c r="A113" s="77">
        <v>102</v>
      </c>
      <c r="B113" s="142" t="s">
        <v>297</v>
      </c>
      <c r="C113" s="77">
        <v>0.5</v>
      </c>
      <c r="D113" s="77">
        <v>2</v>
      </c>
      <c r="E113" s="113">
        <v>2.81</v>
      </c>
      <c r="F113" s="104">
        <v>17697</v>
      </c>
      <c r="G113" s="76">
        <v>1.23</v>
      </c>
      <c r="H113" s="104">
        <f t="shared" si="5"/>
        <v>30583.07055</v>
      </c>
      <c r="I113" s="104"/>
      <c r="J113" s="104">
        <f t="shared" si="8"/>
        <v>30583.07055</v>
      </c>
      <c r="K113" s="104">
        <f t="shared" si="9"/>
        <v>3058.3070550000002</v>
      </c>
      <c r="L113" s="104"/>
      <c r="M113" s="153"/>
      <c r="N113" s="153"/>
      <c r="O113" s="105"/>
      <c r="P113" s="153"/>
      <c r="Q113" s="105"/>
      <c r="R113" s="105"/>
      <c r="S113" s="105"/>
      <c r="T113" s="105"/>
      <c r="U113" s="105"/>
      <c r="V113" s="105"/>
      <c r="W113" s="105">
        <f t="shared" si="10"/>
        <v>33641.377605000001</v>
      </c>
      <c r="X113" s="105">
        <f t="shared" si="11"/>
        <v>403.69653126000003</v>
      </c>
    </row>
    <row r="114" spans="1:24" s="147" customFormat="1" x14ac:dyDescent="0.25">
      <c r="A114" s="77">
        <v>103</v>
      </c>
      <c r="B114" s="142" t="s">
        <v>301</v>
      </c>
      <c r="C114" s="77">
        <v>1</v>
      </c>
      <c r="D114" s="77">
        <v>1</v>
      </c>
      <c r="E114" s="116">
        <v>2.77</v>
      </c>
      <c r="F114" s="104">
        <v>17697</v>
      </c>
      <c r="G114" s="76">
        <v>1.23</v>
      </c>
      <c r="H114" s="104">
        <f t="shared" si="5"/>
        <v>60295.448700000001</v>
      </c>
      <c r="I114" s="104"/>
      <c r="J114" s="104">
        <f t="shared" si="8"/>
        <v>60295.448700000001</v>
      </c>
      <c r="K114" s="104">
        <f t="shared" si="9"/>
        <v>6029.5448700000006</v>
      </c>
      <c r="L114" s="104"/>
      <c r="M114" s="153"/>
      <c r="N114" s="153"/>
      <c r="O114" s="105"/>
      <c r="P114" s="153"/>
      <c r="Q114" s="105"/>
      <c r="R114" s="105"/>
      <c r="S114" s="105"/>
      <c r="T114" s="105"/>
      <c r="U114" s="105"/>
      <c r="V114" s="105"/>
      <c r="W114" s="105">
        <f t="shared" si="10"/>
        <v>66324.993570000006</v>
      </c>
      <c r="X114" s="105">
        <f t="shared" si="11"/>
        <v>795.89992284000016</v>
      </c>
    </row>
    <row r="115" spans="1:24" s="147" customFormat="1" ht="26" x14ac:dyDescent="0.25">
      <c r="A115" s="77">
        <v>104</v>
      </c>
      <c r="B115" s="142" t="s">
        <v>303</v>
      </c>
      <c r="C115" s="77">
        <v>0.5</v>
      </c>
      <c r="D115" s="77">
        <v>1</v>
      </c>
      <c r="E115" s="113">
        <v>2.77</v>
      </c>
      <c r="F115" s="104">
        <v>17697</v>
      </c>
      <c r="G115" s="76">
        <v>1.23</v>
      </c>
      <c r="H115" s="104">
        <f t="shared" si="5"/>
        <v>30147.72435</v>
      </c>
      <c r="I115" s="104"/>
      <c r="J115" s="104">
        <f t="shared" si="8"/>
        <v>30147.72435</v>
      </c>
      <c r="K115" s="104">
        <f t="shared" si="9"/>
        <v>3014.7724350000003</v>
      </c>
      <c r="L115" s="104"/>
      <c r="M115" s="153">
        <f>F115*30%*C115</f>
        <v>2654.5499999999997</v>
      </c>
      <c r="N115" s="153"/>
      <c r="O115" s="105"/>
      <c r="P115" s="153"/>
      <c r="Q115" s="105"/>
      <c r="R115" s="105"/>
      <c r="S115" s="105"/>
      <c r="T115" s="105"/>
      <c r="U115" s="105"/>
      <c r="V115" s="105"/>
      <c r="W115" s="105">
        <f t="shared" si="10"/>
        <v>35817.046785000006</v>
      </c>
      <c r="X115" s="105">
        <f t="shared" si="11"/>
        <v>429.80456142000003</v>
      </c>
    </row>
    <row r="116" spans="1:24" s="147" customFormat="1" ht="26" x14ac:dyDescent="0.25">
      <c r="A116" s="77">
        <v>105</v>
      </c>
      <c r="B116" s="142" t="s">
        <v>303</v>
      </c>
      <c r="C116" s="103">
        <v>0.5</v>
      </c>
      <c r="D116" s="77">
        <v>1</v>
      </c>
      <c r="E116" s="113">
        <v>2.77</v>
      </c>
      <c r="F116" s="104">
        <v>17697</v>
      </c>
      <c r="G116" s="76">
        <v>1.23</v>
      </c>
      <c r="H116" s="104">
        <f t="shared" si="5"/>
        <v>30147.72435</v>
      </c>
      <c r="I116" s="104"/>
      <c r="J116" s="104">
        <f>H116+I116</f>
        <v>30147.72435</v>
      </c>
      <c r="K116" s="104">
        <f>J116*10%</f>
        <v>3014.7724350000003</v>
      </c>
      <c r="L116" s="104"/>
      <c r="M116" s="153">
        <f>F116*30%*C116</f>
        <v>2654.5499999999997</v>
      </c>
      <c r="N116" s="153"/>
      <c r="O116" s="105"/>
      <c r="P116" s="153"/>
      <c r="Q116" s="105"/>
      <c r="R116" s="105"/>
      <c r="S116" s="105"/>
      <c r="T116" s="105"/>
      <c r="U116" s="105"/>
      <c r="V116" s="105"/>
      <c r="W116" s="105">
        <f>SUM(J116:V116)</f>
        <v>35817.046785000006</v>
      </c>
      <c r="X116" s="105">
        <f>W116*12/1000</f>
        <v>429.80456142000003</v>
      </c>
    </row>
    <row r="117" spans="1:24" s="147" customFormat="1" x14ac:dyDescent="0.25">
      <c r="A117" s="77">
        <v>106</v>
      </c>
      <c r="B117" s="142" t="s">
        <v>304</v>
      </c>
      <c r="C117" s="77">
        <v>1</v>
      </c>
      <c r="D117" s="77">
        <v>1</v>
      </c>
      <c r="E117" s="113">
        <v>2.77</v>
      </c>
      <c r="F117" s="104">
        <v>17697</v>
      </c>
      <c r="G117" s="76">
        <v>1.23</v>
      </c>
      <c r="H117" s="104">
        <f t="shared" si="5"/>
        <v>60295.448700000001</v>
      </c>
      <c r="I117" s="104"/>
      <c r="J117" s="104">
        <f t="shared" si="8"/>
        <v>60295.448700000001</v>
      </c>
      <c r="K117" s="104">
        <f t="shared" si="9"/>
        <v>6029.5448700000006</v>
      </c>
      <c r="L117" s="104"/>
      <c r="M117" s="153"/>
      <c r="N117" s="153"/>
      <c r="O117" s="105"/>
      <c r="P117" s="105">
        <f t="shared" ref="P117:P122" si="13">J117/20.42/8*243.33/2/3</f>
        <v>14968.669943857125</v>
      </c>
      <c r="Q117" s="105"/>
      <c r="R117" s="105"/>
      <c r="S117" s="105"/>
      <c r="T117" s="105"/>
      <c r="U117" s="105"/>
      <c r="V117" s="105"/>
      <c r="W117" s="105">
        <f t="shared" si="10"/>
        <v>81293.663513857129</v>
      </c>
      <c r="X117" s="105">
        <f t="shared" si="11"/>
        <v>975.52396216628563</v>
      </c>
    </row>
    <row r="118" spans="1:24" s="147" customFormat="1" x14ac:dyDescent="0.25">
      <c r="A118" s="77">
        <v>107</v>
      </c>
      <c r="B118" s="142" t="s">
        <v>304</v>
      </c>
      <c r="C118" s="77">
        <v>1</v>
      </c>
      <c r="D118" s="77">
        <v>1</v>
      </c>
      <c r="E118" s="113">
        <v>2.77</v>
      </c>
      <c r="F118" s="104">
        <v>17697</v>
      </c>
      <c r="G118" s="76">
        <v>1.23</v>
      </c>
      <c r="H118" s="104">
        <f t="shared" si="5"/>
        <v>60295.448700000001</v>
      </c>
      <c r="I118" s="104"/>
      <c r="J118" s="104">
        <f t="shared" si="8"/>
        <v>60295.448700000001</v>
      </c>
      <c r="K118" s="104">
        <f t="shared" si="9"/>
        <v>6029.5448700000006</v>
      </c>
      <c r="L118" s="104"/>
      <c r="M118" s="153"/>
      <c r="N118" s="153"/>
      <c r="O118" s="105"/>
      <c r="P118" s="105">
        <f t="shared" si="13"/>
        <v>14968.669943857125</v>
      </c>
      <c r="Q118" s="105"/>
      <c r="R118" s="105"/>
      <c r="S118" s="105"/>
      <c r="T118" s="105"/>
      <c r="U118" s="105"/>
      <c r="V118" s="105"/>
      <c r="W118" s="105">
        <f t="shared" si="10"/>
        <v>81293.663513857129</v>
      </c>
      <c r="X118" s="105">
        <f t="shared" si="11"/>
        <v>975.52396216628563</v>
      </c>
    </row>
    <row r="119" spans="1:24" s="147" customFormat="1" x14ac:dyDescent="0.25">
      <c r="A119" s="77">
        <v>108</v>
      </c>
      <c r="B119" s="142" t="s">
        <v>304</v>
      </c>
      <c r="C119" s="77">
        <v>1</v>
      </c>
      <c r="D119" s="77">
        <v>1</v>
      </c>
      <c r="E119" s="113">
        <v>2.77</v>
      </c>
      <c r="F119" s="104">
        <v>17697</v>
      </c>
      <c r="G119" s="76">
        <v>1.23</v>
      </c>
      <c r="H119" s="104">
        <f t="shared" si="5"/>
        <v>60295.448700000001</v>
      </c>
      <c r="I119" s="104"/>
      <c r="J119" s="104">
        <f t="shared" si="8"/>
        <v>60295.448700000001</v>
      </c>
      <c r="K119" s="104">
        <f t="shared" si="9"/>
        <v>6029.5448700000006</v>
      </c>
      <c r="L119" s="104"/>
      <c r="M119" s="153"/>
      <c r="N119" s="153"/>
      <c r="O119" s="105"/>
      <c r="P119" s="105">
        <f t="shared" si="13"/>
        <v>14968.669943857125</v>
      </c>
      <c r="Q119" s="105"/>
      <c r="R119" s="105"/>
      <c r="S119" s="105"/>
      <c r="T119" s="105"/>
      <c r="U119" s="105"/>
      <c r="V119" s="105"/>
      <c r="W119" s="105">
        <f t="shared" si="10"/>
        <v>81293.663513857129</v>
      </c>
      <c r="X119" s="105">
        <f t="shared" si="11"/>
        <v>975.52396216628563</v>
      </c>
    </row>
    <row r="120" spans="1:24" s="147" customFormat="1" x14ac:dyDescent="0.25">
      <c r="A120" s="77">
        <v>109</v>
      </c>
      <c r="B120" s="142" t="s">
        <v>304</v>
      </c>
      <c r="C120" s="77">
        <v>1</v>
      </c>
      <c r="D120" s="77">
        <v>1</v>
      </c>
      <c r="E120" s="113">
        <v>2.77</v>
      </c>
      <c r="F120" s="104">
        <v>17697</v>
      </c>
      <c r="G120" s="76">
        <v>1.23</v>
      </c>
      <c r="H120" s="104">
        <f t="shared" si="5"/>
        <v>60295.448700000001</v>
      </c>
      <c r="I120" s="104"/>
      <c r="J120" s="104">
        <f t="shared" si="8"/>
        <v>60295.448700000001</v>
      </c>
      <c r="K120" s="104">
        <f t="shared" si="9"/>
        <v>6029.5448700000006</v>
      </c>
      <c r="L120" s="104"/>
      <c r="M120" s="153"/>
      <c r="N120" s="153"/>
      <c r="O120" s="105"/>
      <c r="P120" s="105">
        <f t="shared" si="13"/>
        <v>14968.669943857125</v>
      </c>
      <c r="Q120" s="105"/>
      <c r="R120" s="105"/>
      <c r="S120" s="105"/>
      <c r="T120" s="105"/>
      <c r="U120" s="105"/>
      <c r="V120" s="105"/>
      <c r="W120" s="105">
        <f t="shared" si="10"/>
        <v>81293.663513857129</v>
      </c>
      <c r="X120" s="105">
        <f t="shared" si="11"/>
        <v>975.52396216628563</v>
      </c>
    </row>
    <row r="121" spans="1:24" s="147" customFormat="1" x14ac:dyDescent="0.25">
      <c r="A121" s="77">
        <v>110</v>
      </c>
      <c r="B121" s="142" t="s">
        <v>304</v>
      </c>
      <c r="C121" s="77">
        <v>1</v>
      </c>
      <c r="D121" s="77">
        <v>1</v>
      </c>
      <c r="E121" s="113">
        <v>2.77</v>
      </c>
      <c r="F121" s="104">
        <v>17697</v>
      </c>
      <c r="G121" s="76">
        <v>1.23</v>
      </c>
      <c r="H121" s="104">
        <f t="shared" si="5"/>
        <v>60295.448700000001</v>
      </c>
      <c r="I121" s="104"/>
      <c r="J121" s="104">
        <f t="shared" si="8"/>
        <v>60295.448700000001</v>
      </c>
      <c r="K121" s="104">
        <f t="shared" si="9"/>
        <v>6029.5448700000006</v>
      </c>
      <c r="L121" s="104"/>
      <c r="M121" s="153"/>
      <c r="N121" s="153"/>
      <c r="O121" s="105"/>
      <c r="P121" s="105">
        <f t="shared" si="13"/>
        <v>14968.669943857125</v>
      </c>
      <c r="Q121" s="105"/>
      <c r="R121" s="105"/>
      <c r="S121" s="105"/>
      <c r="T121" s="105"/>
      <c r="U121" s="105"/>
      <c r="V121" s="105"/>
      <c r="W121" s="105">
        <f t="shared" si="10"/>
        <v>81293.663513857129</v>
      </c>
      <c r="X121" s="105">
        <f t="shared" si="11"/>
        <v>975.52396216628563</v>
      </c>
    </row>
    <row r="122" spans="1:24" s="147" customFormat="1" x14ac:dyDescent="0.25">
      <c r="A122" s="77">
        <v>111</v>
      </c>
      <c r="B122" s="142" t="s">
        <v>304</v>
      </c>
      <c r="C122" s="77">
        <v>1</v>
      </c>
      <c r="D122" s="77">
        <v>1</v>
      </c>
      <c r="E122" s="113">
        <v>2.77</v>
      </c>
      <c r="F122" s="104">
        <v>17697</v>
      </c>
      <c r="G122" s="76">
        <v>1.23</v>
      </c>
      <c r="H122" s="104">
        <f t="shared" si="5"/>
        <v>60295.448700000001</v>
      </c>
      <c r="I122" s="104"/>
      <c r="J122" s="104">
        <f t="shared" si="8"/>
        <v>60295.448700000001</v>
      </c>
      <c r="K122" s="104">
        <f t="shared" si="9"/>
        <v>6029.5448700000006</v>
      </c>
      <c r="L122" s="104"/>
      <c r="M122" s="153"/>
      <c r="N122" s="153"/>
      <c r="O122" s="105"/>
      <c r="P122" s="105">
        <f t="shared" si="13"/>
        <v>14968.669943857125</v>
      </c>
      <c r="Q122" s="105"/>
      <c r="R122" s="105"/>
      <c r="S122" s="105"/>
      <c r="T122" s="105"/>
      <c r="U122" s="105"/>
      <c r="V122" s="105"/>
      <c r="W122" s="105">
        <f t="shared" si="10"/>
        <v>81293.663513857129</v>
      </c>
      <c r="X122" s="105">
        <f t="shared" si="11"/>
        <v>975.52396216628563</v>
      </c>
    </row>
    <row r="123" spans="1:24" s="147" customFormat="1" ht="33" customHeight="1" x14ac:dyDescent="0.25">
      <c r="A123" s="77">
        <v>112</v>
      </c>
      <c r="B123" s="142" t="s">
        <v>311</v>
      </c>
      <c r="C123" s="77">
        <v>0.5</v>
      </c>
      <c r="D123" s="77">
        <v>1</v>
      </c>
      <c r="E123" s="113">
        <v>2.77</v>
      </c>
      <c r="F123" s="104">
        <v>17697</v>
      </c>
      <c r="G123" s="76">
        <v>1.23</v>
      </c>
      <c r="H123" s="104">
        <f t="shared" si="5"/>
        <v>30147.72435</v>
      </c>
      <c r="I123" s="104"/>
      <c r="J123" s="104">
        <f t="shared" si="8"/>
        <v>30147.72435</v>
      </c>
      <c r="K123" s="104">
        <f t="shared" si="9"/>
        <v>3014.7724350000003</v>
      </c>
      <c r="L123" s="104"/>
      <c r="M123" s="155"/>
      <c r="N123" s="153"/>
      <c r="O123" s="105"/>
      <c r="P123" s="153"/>
      <c r="Q123" s="105"/>
      <c r="R123" s="105"/>
      <c r="S123" s="105"/>
      <c r="T123" s="105"/>
      <c r="U123" s="105"/>
      <c r="V123" s="105"/>
      <c r="W123" s="105">
        <f t="shared" si="10"/>
        <v>33162.496785000003</v>
      </c>
      <c r="X123" s="105">
        <f t="shared" si="11"/>
        <v>397.94996142000008</v>
      </c>
    </row>
    <row r="124" spans="1:24" s="147" customFormat="1" ht="30" customHeight="1" x14ac:dyDescent="0.25">
      <c r="A124" s="77">
        <v>113</v>
      </c>
      <c r="B124" s="142" t="s">
        <v>311</v>
      </c>
      <c r="C124" s="77">
        <v>1</v>
      </c>
      <c r="D124" s="77">
        <v>1</v>
      </c>
      <c r="E124" s="113">
        <v>2.77</v>
      </c>
      <c r="F124" s="104">
        <v>17697</v>
      </c>
      <c r="G124" s="76">
        <v>1.23</v>
      </c>
      <c r="H124" s="104">
        <f t="shared" si="5"/>
        <v>60295.448700000001</v>
      </c>
      <c r="I124" s="104"/>
      <c r="J124" s="104">
        <f t="shared" si="8"/>
        <v>60295.448700000001</v>
      </c>
      <c r="K124" s="104">
        <f t="shared" si="9"/>
        <v>6029.5448700000006</v>
      </c>
      <c r="L124" s="104"/>
      <c r="M124" s="153"/>
      <c r="N124" s="153"/>
      <c r="O124" s="105"/>
      <c r="P124" s="153"/>
      <c r="Q124" s="105"/>
      <c r="R124" s="105"/>
      <c r="S124" s="105"/>
      <c r="T124" s="105"/>
      <c r="U124" s="105"/>
      <c r="V124" s="105"/>
      <c r="W124" s="105">
        <f t="shared" si="10"/>
        <v>66324.993570000006</v>
      </c>
      <c r="X124" s="105">
        <f t="shared" si="11"/>
        <v>795.89992284000016</v>
      </c>
    </row>
    <row r="125" spans="1:24" s="147" customFormat="1" x14ac:dyDescent="0.25">
      <c r="A125" s="77">
        <v>114</v>
      </c>
      <c r="B125" s="142" t="s">
        <v>311</v>
      </c>
      <c r="C125" s="77">
        <v>1.5</v>
      </c>
      <c r="D125" s="77">
        <v>1</v>
      </c>
      <c r="E125" s="113">
        <v>2.77</v>
      </c>
      <c r="F125" s="104">
        <v>17697</v>
      </c>
      <c r="G125" s="76">
        <v>1.23</v>
      </c>
      <c r="H125" s="104">
        <f t="shared" si="5"/>
        <v>90443.173049999998</v>
      </c>
      <c r="I125" s="104"/>
      <c r="J125" s="104">
        <f t="shared" si="8"/>
        <v>90443.173049999998</v>
      </c>
      <c r="K125" s="104">
        <f t="shared" si="9"/>
        <v>9044.3173050000005</v>
      </c>
      <c r="L125" s="104"/>
      <c r="M125" s="153"/>
      <c r="N125" s="153"/>
      <c r="O125" s="105"/>
      <c r="P125" s="153"/>
      <c r="Q125" s="105"/>
      <c r="R125" s="105"/>
      <c r="S125" s="105"/>
      <c r="T125" s="105"/>
      <c r="U125" s="105"/>
      <c r="V125" s="105"/>
      <c r="W125" s="105">
        <f t="shared" si="10"/>
        <v>99487.490355000002</v>
      </c>
      <c r="X125" s="105">
        <f t="shared" si="11"/>
        <v>1193.84988426</v>
      </c>
    </row>
    <row r="126" spans="1:24" s="147" customFormat="1" ht="23.25" customHeight="1" x14ac:dyDescent="0.25">
      <c r="A126" s="77">
        <v>115</v>
      </c>
      <c r="B126" s="142" t="s">
        <v>311</v>
      </c>
      <c r="C126" s="77">
        <v>0.5</v>
      </c>
      <c r="D126" s="77">
        <v>1</v>
      </c>
      <c r="E126" s="113">
        <v>2.77</v>
      </c>
      <c r="F126" s="104">
        <v>17697</v>
      </c>
      <c r="G126" s="76">
        <v>1.23</v>
      </c>
      <c r="H126" s="104">
        <f t="shared" si="5"/>
        <v>30147.72435</v>
      </c>
      <c r="I126" s="104"/>
      <c r="J126" s="104">
        <f t="shared" si="8"/>
        <v>30147.72435</v>
      </c>
      <c r="K126" s="104">
        <f t="shared" si="9"/>
        <v>3014.7724350000003</v>
      </c>
      <c r="L126" s="104"/>
      <c r="M126" s="153"/>
      <c r="N126" s="153"/>
      <c r="O126" s="105"/>
      <c r="P126" s="153"/>
      <c r="Q126" s="105"/>
      <c r="R126" s="105"/>
      <c r="S126" s="105"/>
      <c r="T126" s="105"/>
      <c r="U126" s="105"/>
      <c r="V126" s="105"/>
      <c r="W126" s="105">
        <f t="shared" si="10"/>
        <v>33162.496785000003</v>
      </c>
      <c r="X126" s="105">
        <f t="shared" si="11"/>
        <v>397.94996142000008</v>
      </c>
    </row>
    <row r="127" spans="1:24" s="147" customFormat="1" x14ac:dyDescent="0.25">
      <c r="A127" s="77">
        <v>116</v>
      </c>
      <c r="B127" s="142" t="s">
        <v>311</v>
      </c>
      <c r="C127" s="77">
        <v>0.5</v>
      </c>
      <c r="D127" s="77">
        <v>1</v>
      </c>
      <c r="E127" s="113">
        <v>2.77</v>
      </c>
      <c r="F127" s="104">
        <v>17697</v>
      </c>
      <c r="G127" s="76">
        <v>1.23</v>
      </c>
      <c r="H127" s="104">
        <f t="shared" si="5"/>
        <v>30147.72435</v>
      </c>
      <c r="I127" s="104"/>
      <c r="J127" s="104">
        <f t="shared" si="8"/>
        <v>30147.72435</v>
      </c>
      <c r="K127" s="104">
        <f t="shared" si="9"/>
        <v>3014.7724350000003</v>
      </c>
      <c r="L127" s="104"/>
      <c r="M127" s="153"/>
      <c r="N127" s="153"/>
      <c r="O127" s="105"/>
      <c r="P127" s="153"/>
      <c r="Q127" s="105"/>
      <c r="R127" s="105"/>
      <c r="S127" s="105"/>
      <c r="T127" s="105"/>
      <c r="U127" s="105"/>
      <c r="V127" s="105"/>
      <c r="W127" s="105">
        <f t="shared" si="10"/>
        <v>33162.496785000003</v>
      </c>
      <c r="X127" s="105">
        <f t="shared" si="11"/>
        <v>397.94996142000008</v>
      </c>
    </row>
    <row r="128" spans="1:24" s="147" customFormat="1" x14ac:dyDescent="0.25">
      <c r="A128" s="77">
        <v>117</v>
      </c>
      <c r="B128" s="142" t="s">
        <v>314</v>
      </c>
      <c r="C128" s="77">
        <v>1</v>
      </c>
      <c r="D128" s="77">
        <v>2</v>
      </c>
      <c r="E128" s="116">
        <v>2.81</v>
      </c>
      <c r="F128" s="104">
        <v>17697</v>
      </c>
      <c r="G128" s="76">
        <v>1.23</v>
      </c>
      <c r="H128" s="104">
        <f t="shared" si="5"/>
        <v>61166.141100000001</v>
      </c>
      <c r="I128" s="104"/>
      <c r="J128" s="104">
        <f t="shared" si="8"/>
        <v>61166.141100000001</v>
      </c>
      <c r="K128" s="104">
        <f t="shared" si="9"/>
        <v>6116.6141100000004</v>
      </c>
      <c r="L128" s="104"/>
      <c r="M128" s="153"/>
      <c r="N128" s="106"/>
      <c r="O128" s="105"/>
      <c r="P128" s="106"/>
      <c r="Q128" s="105"/>
      <c r="R128" s="105"/>
      <c r="S128" s="105"/>
      <c r="T128" s="105"/>
      <c r="U128" s="105"/>
      <c r="V128" s="105"/>
      <c r="W128" s="105">
        <f t="shared" si="10"/>
        <v>67282.755210000003</v>
      </c>
      <c r="X128" s="105">
        <f t="shared" si="11"/>
        <v>807.39306252000006</v>
      </c>
    </row>
    <row r="129" spans="1:24" s="147" customFormat="1" ht="18" customHeight="1" x14ac:dyDescent="0.25">
      <c r="A129" s="77">
        <v>118</v>
      </c>
      <c r="B129" s="142" t="s">
        <v>316</v>
      </c>
      <c r="C129" s="77">
        <v>1</v>
      </c>
      <c r="D129" s="103">
        <v>5</v>
      </c>
      <c r="E129" s="157">
        <v>2.92</v>
      </c>
      <c r="F129" s="104">
        <v>17697</v>
      </c>
      <c r="G129" s="76">
        <v>1.23</v>
      </c>
      <c r="H129" s="104">
        <f t="shared" si="5"/>
        <v>63560.545199999993</v>
      </c>
      <c r="I129" s="104"/>
      <c r="J129" s="104">
        <f t="shared" si="8"/>
        <v>63560.545199999993</v>
      </c>
      <c r="K129" s="104">
        <f t="shared" si="9"/>
        <v>6356.0545199999997</v>
      </c>
      <c r="L129" s="104"/>
      <c r="M129" s="153"/>
      <c r="N129" s="153">
        <f>C129*F129*35%</f>
        <v>6193.95</v>
      </c>
      <c r="O129" s="105"/>
      <c r="P129" s="153"/>
      <c r="Q129" s="105"/>
      <c r="R129" s="105"/>
      <c r="S129" s="105"/>
      <c r="T129" s="105"/>
      <c r="U129" s="105"/>
      <c r="V129" s="105"/>
      <c r="W129" s="105">
        <f t="shared" si="10"/>
        <v>76110.549719999995</v>
      </c>
      <c r="X129" s="105">
        <f t="shared" si="11"/>
        <v>913.32659663999993</v>
      </c>
    </row>
    <row r="130" spans="1:24" s="147" customFormat="1" ht="26" x14ac:dyDescent="0.25">
      <c r="A130" s="77">
        <v>119</v>
      </c>
      <c r="B130" s="143" t="s">
        <v>283</v>
      </c>
      <c r="C130" s="103">
        <v>0.5</v>
      </c>
      <c r="D130" s="103">
        <v>2</v>
      </c>
      <c r="E130" s="157">
        <v>2.81</v>
      </c>
      <c r="F130" s="104">
        <v>17697</v>
      </c>
      <c r="G130" s="76">
        <v>1.23</v>
      </c>
      <c r="H130" s="104">
        <f t="shared" si="5"/>
        <v>30583.07055</v>
      </c>
      <c r="I130" s="104"/>
      <c r="J130" s="104">
        <f t="shared" si="8"/>
        <v>30583.07055</v>
      </c>
      <c r="K130" s="104">
        <f t="shared" si="9"/>
        <v>3058.3070550000002</v>
      </c>
      <c r="L130" s="104"/>
      <c r="M130" s="153">
        <f>F130*30%*C130</f>
        <v>2654.5499999999997</v>
      </c>
      <c r="N130" s="153"/>
      <c r="O130" s="105"/>
      <c r="P130" s="153"/>
      <c r="Q130" s="105"/>
      <c r="R130" s="105"/>
      <c r="S130" s="105"/>
      <c r="T130" s="105"/>
      <c r="U130" s="105"/>
      <c r="V130" s="105"/>
      <c r="W130" s="105">
        <f t="shared" si="10"/>
        <v>36295.927605000004</v>
      </c>
      <c r="X130" s="105">
        <f t="shared" si="11"/>
        <v>435.55113126000003</v>
      </c>
    </row>
    <row r="131" spans="1:24" s="151" customFormat="1" ht="20.25" customHeight="1" x14ac:dyDescent="0.25">
      <c r="A131" s="145"/>
      <c r="B131" s="144" t="s">
        <v>71</v>
      </c>
      <c r="C131" s="107">
        <f>SUM(C12:C130)</f>
        <v>116.5</v>
      </c>
      <c r="D131" s="138"/>
      <c r="E131" s="117"/>
      <c r="F131" s="55"/>
      <c r="G131" s="150"/>
      <c r="H131" s="55">
        <f t="shared" ref="H131:X131" si="14">SUM(H12:H130)</f>
        <v>11466891.312630007</v>
      </c>
      <c r="I131" s="55">
        <f t="shared" si="14"/>
        <v>0</v>
      </c>
      <c r="J131" s="55">
        <f t="shared" si="14"/>
        <v>11466891.312630007</v>
      </c>
      <c r="K131" s="55">
        <f t="shared" si="14"/>
        <v>1146689.1312630002</v>
      </c>
      <c r="L131" s="55">
        <f t="shared" si="14"/>
        <v>0</v>
      </c>
      <c r="M131" s="55">
        <f t="shared" si="14"/>
        <v>120339.6</v>
      </c>
      <c r="N131" s="55">
        <f t="shared" si="14"/>
        <v>6193.95</v>
      </c>
      <c r="O131" s="55">
        <f t="shared" si="14"/>
        <v>20568.082588148867</v>
      </c>
      <c r="P131" s="55">
        <f t="shared" si="14"/>
        <v>246213.00516858854</v>
      </c>
      <c r="Q131" s="55">
        <f t="shared" si="14"/>
        <v>0</v>
      </c>
      <c r="R131" s="55">
        <f t="shared" si="14"/>
        <v>39765.159</v>
      </c>
      <c r="S131" s="55">
        <f t="shared" si="14"/>
        <v>371358.27224999998</v>
      </c>
      <c r="T131" s="55">
        <f t="shared" si="14"/>
        <v>457856.78399999999</v>
      </c>
      <c r="U131" s="55">
        <f t="shared" si="14"/>
        <v>0</v>
      </c>
      <c r="V131" s="55">
        <f t="shared" si="14"/>
        <v>650751.87187499995</v>
      </c>
      <c r="W131" s="55">
        <f t="shared" si="14"/>
        <v>14526627.168774741</v>
      </c>
      <c r="X131" s="55">
        <f t="shared" si="14"/>
        <v>174319.5260252968</v>
      </c>
    </row>
    <row r="132" spans="1:24" s="151" customFormat="1" ht="20.25" customHeight="1" x14ac:dyDescent="0.25">
      <c r="A132" s="145"/>
      <c r="B132" s="144" t="s">
        <v>461</v>
      </c>
      <c r="C132" s="107">
        <v>63</v>
      </c>
      <c r="D132" s="138"/>
      <c r="E132" s="117"/>
      <c r="F132" s="55"/>
      <c r="G132" s="150"/>
      <c r="H132" s="55">
        <f>'тариф мугалим'!O89+'тариф мугалим'!Q89</f>
        <v>9544393.0476562511</v>
      </c>
      <c r="I132" s="55"/>
      <c r="J132" s="55">
        <f>H132</f>
        <v>9544393.0476562511</v>
      </c>
      <c r="K132" s="55">
        <f>J132*0.1</f>
        <v>954439.30476562516</v>
      </c>
      <c r="L132" s="55"/>
      <c r="M132" s="55"/>
      <c r="N132" s="55"/>
      <c r="O132" s="55"/>
      <c r="P132" s="55"/>
      <c r="Q132" s="55">
        <f>'тариф мугалим'!Z89+'тариф мугалим'!AA89+'тариф мугалим'!AB89+'тариф мугалим'!AC89+'тариф мугалим'!AE89+'тариф мугалим'!AF89</f>
        <v>3949707.9330468765</v>
      </c>
      <c r="R132" s="55">
        <f>'тариф мугалим'!AG89</f>
        <v>349135.54101562494</v>
      </c>
      <c r="S132" s="55">
        <f>'тариф мугалим'!AH89</f>
        <v>448738.12823437504</v>
      </c>
      <c r="T132" s="55">
        <f>'тариф мугалим'!AI89</f>
        <v>1343940.0436875001</v>
      </c>
      <c r="U132" s="55">
        <f>'[1]тариф мугалим'!AJ89+'тариф мугалим'!AK89</f>
        <v>425369.51625000004</v>
      </c>
      <c r="V132" s="55"/>
      <c r="W132" s="209">
        <f>SUM(J132:V132)</f>
        <v>17015723.514656253</v>
      </c>
      <c r="X132" s="209">
        <f t="shared" si="11"/>
        <v>204188.68217587503</v>
      </c>
    </row>
    <row r="133" spans="1:24" ht="13.5" customHeight="1" x14ac:dyDescent="0.3">
      <c r="A133" s="210"/>
      <c r="B133" s="144" t="s">
        <v>71</v>
      </c>
      <c r="C133" s="211">
        <f>C131+C132</f>
        <v>179.5</v>
      </c>
      <c r="D133" s="210"/>
      <c r="E133" s="212"/>
      <c r="F133" s="213"/>
      <c r="G133" s="210"/>
      <c r="H133" s="214">
        <f>H131+H132</f>
        <v>21011284.360286258</v>
      </c>
      <c r="I133" s="214">
        <f t="shared" ref="I133:X133" si="15">I131+I132</f>
        <v>0</v>
      </c>
      <c r="J133" s="214">
        <f t="shared" si="15"/>
        <v>21011284.360286258</v>
      </c>
      <c r="K133" s="214">
        <f t="shared" si="15"/>
        <v>2101128.4360286254</v>
      </c>
      <c r="L133" s="214">
        <f t="shared" si="15"/>
        <v>0</v>
      </c>
      <c r="M133" s="214">
        <f t="shared" si="15"/>
        <v>120339.6</v>
      </c>
      <c r="N133" s="214">
        <f t="shared" si="15"/>
        <v>6193.95</v>
      </c>
      <c r="O133" s="214">
        <f t="shared" si="15"/>
        <v>20568.082588148867</v>
      </c>
      <c r="P133" s="214">
        <f t="shared" si="15"/>
        <v>246213.00516858854</v>
      </c>
      <c r="Q133" s="214">
        <f t="shared" si="15"/>
        <v>3949707.9330468765</v>
      </c>
      <c r="R133" s="214">
        <f t="shared" si="15"/>
        <v>388900.70001562493</v>
      </c>
      <c r="S133" s="214">
        <f t="shared" si="15"/>
        <v>820096.40048437496</v>
      </c>
      <c r="T133" s="214">
        <f t="shared" si="15"/>
        <v>1801796.8276875</v>
      </c>
      <c r="U133" s="214">
        <f t="shared" si="15"/>
        <v>425369.51625000004</v>
      </c>
      <c r="V133" s="214">
        <f t="shared" si="15"/>
        <v>650751.87187499995</v>
      </c>
      <c r="W133" s="214">
        <f t="shared" si="15"/>
        <v>31542350.683430992</v>
      </c>
      <c r="X133" s="214">
        <f t="shared" si="15"/>
        <v>378508.20820117183</v>
      </c>
    </row>
    <row r="134" spans="1:24" ht="28.5" customHeight="1" x14ac:dyDescent="0.3">
      <c r="B134" s="215" t="s">
        <v>462</v>
      </c>
      <c r="X134" s="102">
        <f>'ШТАТ АУП 2022'!AB132+'тариф мугалим'!AM89</f>
        <v>378508.20820117183</v>
      </c>
    </row>
    <row r="135" spans="1:24" ht="28.5" customHeight="1" x14ac:dyDescent="0.3"/>
    <row r="136" spans="1:24" ht="28.5" customHeight="1" x14ac:dyDescent="0.3">
      <c r="D136" s="109"/>
    </row>
  </sheetData>
  <mergeCells count="15">
    <mergeCell ref="A9:X9"/>
    <mergeCell ref="A10:A11"/>
    <mergeCell ref="B10:B11"/>
    <mergeCell ref="C10:C11"/>
    <mergeCell ref="D10:D11"/>
    <mergeCell ref="J10:J11"/>
    <mergeCell ref="K10:Q10"/>
    <mergeCell ref="R10:V10"/>
    <mergeCell ref="W10:W11"/>
    <mergeCell ref="X10:X11"/>
    <mergeCell ref="E10:E11"/>
    <mergeCell ref="F10:F11"/>
    <mergeCell ref="G10:G11"/>
    <mergeCell ref="H10:H11"/>
    <mergeCell ref="I10:I11"/>
  </mergeCells>
  <pageMargins left="0" right="0.11811023622047245" top="0" bottom="0" header="0.31496062992125984" footer="0"/>
  <pageSetup paperSize="9" scale="7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D139"/>
  <sheetViews>
    <sheetView view="pageBreakPreview" topLeftCell="A8" zoomScale="95" zoomScaleSheetLayoutView="95" workbookViewId="0">
      <pane xSplit="4" ySplit="5" topLeftCell="E115" activePane="bottomRight" state="frozen"/>
      <selection activeCell="A8" sqref="A8"/>
      <selection pane="topRight" activeCell="E8" sqref="E8"/>
      <selection pane="bottomLeft" activeCell="A13" sqref="A13"/>
      <selection pane="bottomRight" activeCell="A8" sqref="A1:IV65536"/>
    </sheetView>
  </sheetViews>
  <sheetFormatPr defaultColWidth="6.1796875" defaultRowHeight="28.5" customHeight="1" x14ac:dyDescent="0.3"/>
  <cols>
    <col min="1" max="1" width="6.1796875" style="101" customWidth="1"/>
    <col min="2" max="2" width="18.54296875" style="101" customWidth="1"/>
    <col min="3" max="3" width="18.26953125" style="149" customWidth="1"/>
    <col min="4" max="4" width="6.81640625" style="111" customWidth="1"/>
    <col min="5" max="5" width="6.1796875" style="101" customWidth="1"/>
    <col min="6" max="6" width="6.81640625" style="149" customWidth="1"/>
    <col min="7" max="7" width="7.54296875" style="101" customWidth="1"/>
    <col min="8" max="8" width="7.81640625" style="101" customWidth="1"/>
    <col min="9" max="9" width="6.1796875" style="112" customWidth="1"/>
    <col min="10" max="10" width="7.1796875" style="102" customWidth="1"/>
    <col min="11" max="11" width="6.1796875" style="101" customWidth="1"/>
    <col min="12" max="12" width="11.453125" style="102" customWidth="1"/>
    <col min="13" max="13" width="8.81640625" style="102" hidden="1" customWidth="1"/>
    <col min="14" max="14" width="10.54296875" style="102" customWidth="1"/>
    <col min="15" max="15" width="10.26953125" style="102" customWidth="1"/>
    <col min="16" max="16" width="6.1796875" style="102" hidden="1" customWidth="1"/>
    <col min="17" max="17" width="9" style="102" customWidth="1"/>
    <col min="18" max="18" width="6.1796875" style="102" customWidth="1"/>
    <col min="19" max="19" width="7.81640625" style="102" customWidth="1"/>
    <col min="20" max="20" width="8.1796875" style="102" customWidth="1"/>
    <col min="21" max="21" width="5" style="102" customWidth="1"/>
    <col min="22" max="22" width="7.26953125" style="102" customWidth="1"/>
    <col min="23" max="23" width="9.1796875" style="102" customWidth="1"/>
    <col min="24" max="24" width="8.26953125" style="102" customWidth="1"/>
    <col min="25" max="25" width="6.1796875" style="102" customWidth="1"/>
    <col min="26" max="26" width="8.81640625" style="102" customWidth="1"/>
    <col min="27" max="27" width="12.1796875" style="102" customWidth="1"/>
    <col min="28" max="28" width="10.1796875" style="102" customWidth="1"/>
    <col min="29" max="29" width="6.1796875" style="101"/>
    <col min="30" max="30" width="7.26953125" style="101" bestFit="1" customWidth="1"/>
    <col min="31" max="16384" width="6.1796875" style="101"/>
  </cols>
  <sheetData>
    <row r="1" spans="1:28" ht="14.25" customHeight="1" x14ac:dyDescent="0.3">
      <c r="B1" s="148"/>
      <c r="C1" s="101"/>
      <c r="E1" s="100"/>
      <c r="G1" s="102"/>
      <c r="J1" s="101"/>
      <c r="W1" s="79" t="s">
        <v>9</v>
      </c>
    </row>
    <row r="2" spans="1:28" ht="14.25" customHeight="1" x14ac:dyDescent="0.3">
      <c r="B2" s="148"/>
      <c r="C2" s="101"/>
      <c r="E2" s="100"/>
      <c r="G2" s="102"/>
      <c r="J2" s="101"/>
      <c r="W2" s="80" t="s">
        <v>38</v>
      </c>
    </row>
    <row r="3" spans="1:28" ht="14.25" customHeight="1" x14ac:dyDescent="0.3">
      <c r="B3" s="148"/>
      <c r="C3" s="101"/>
      <c r="E3" s="100"/>
      <c r="G3" s="102"/>
      <c r="J3" s="101"/>
      <c r="W3" s="79" t="s">
        <v>331</v>
      </c>
    </row>
    <row r="4" spans="1:28" ht="14.25" customHeight="1" x14ac:dyDescent="0.3">
      <c r="B4" s="148"/>
      <c r="C4" s="101"/>
      <c r="E4" s="100"/>
      <c r="G4" s="102"/>
      <c r="J4" s="101"/>
      <c r="W4" s="79" t="s">
        <v>332</v>
      </c>
    </row>
    <row r="5" spans="1:28" ht="14.25" customHeight="1" x14ac:dyDescent="0.3">
      <c r="B5" s="148"/>
      <c r="C5" s="101"/>
      <c r="E5" s="100"/>
      <c r="G5" s="102"/>
      <c r="J5" s="101"/>
      <c r="W5" s="79" t="s">
        <v>333</v>
      </c>
    </row>
    <row r="6" spans="1:28" ht="14.25" customHeight="1" x14ac:dyDescent="0.3">
      <c r="B6" s="148"/>
      <c r="C6" s="101"/>
      <c r="E6" s="100"/>
      <c r="G6" s="102"/>
      <c r="J6" s="101"/>
      <c r="W6" s="79" t="s">
        <v>334</v>
      </c>
    </row>
    <row r="7" spans="1:28" ht="14.25" customHeight="1" x14ac:dyDescent="0.3">
      <c r="B7" s="148"/>
      <c r="C7" s="101"/>
      <c r="E7" s="100"/>
      <c r="G7" s="102"/>
      <c r="J7" s="101"/>
      <c r="W7" s="81" t="s">
        <v>335</v>
      </c>
    </row>
    <row r="8" spans="1:28" ht="13.5" customHeight="1" x14ac:dyDescent="0.3">
      <c r="B8" s="148"/>
      <c r="C8" s="101"/>
      <c r="E8" s="100"/>
      <c r="G8" s="102"/>
      <c r="J8" s="101"/>
      <c r="W8" s="81"/>
    </row>
    <row r="9" spans="1:28" ht="39.65" customHeight="1" x14ac:dyDescent="0.3">
      <c r="A9" s="403" t="s">
        <v>355</v>
      </c>
      <c r="B9" s="403"/>
      <c r="C9" s="403"/>
      <c r="D9" s="403"/>
      <c r="E9" s="403"/>
      <c r="F9" s="403"/>
      <c r="G9" s="403"/>
      <c r="H9" s="403"/>
      <c r="I9" s="403"/>
      <c r="J9" s="403"/>
      <c r="K9" s="403"/>
      <c r="L9" s="403"/>
      <c r="M9" s="403"/>
      <c r="N9" s="403"/>
      <c r="O9" s="403"/>
      <c r="P9" s="403"/>
      <c r="Q9" s="403"/>
      <c r="R9" s="403"/>
      <c r="S9" s="403"/>
      <c r="T9" s="403"/>
      <c r="U9" s="403"/>
      <c r="V9" s="403"/>
      <c r="W9" s="403"/>
      <c r="X9" s="403"/>
      <c r="Y9" s="403"/>
      <c r="Z9" s="403"/>
      <c r="AA9" s="403"/>
      <c r="AB9" s="403"/>
    </row>
    <row r="11" spans="1:28" s="152" customFormat="1" ht="28.5" customHeight="1" x14ac:dyDescent="0.25">
      <c r="A11" s="404" t="s">
        <v>22</v>
      </c>
      <c r="B11" s="404" t="s">
        <v>0</v>
      </c>
      <c r="C11" s="404" t="s">
        <v>1</v>
      </c>
      <c r="D11" s="404" t="s">
        <v>59</v>
      </c>
      <c r="E11" s="404" t="s">
        <v>2</v>
      </c>
      <c r="F11" s="404" t="s">
        <v>43</v>
      </c>
      <c r="G11" s="404" t="s">
        <v>35</v>
      </c>
      <c r="H11" s="404" t="s">
        <v>36</v>
      </c>
      <c r="I11" s="411" t="s">
        <v>3</v>
      </c>
      <c r="J11" s="413" t="s">
        <v>53</v>
      </c>
      <c r="K11" s="404" t="s">
        <v>51</v>
      </c>
      <c r="L11" s="406" t="s">
        <v>4</v>
      </c>
      <c r="M11" s="406" t="s">
        <v>52</v>
      </c>
      <c r="N11" s="406" t="s">
        <v>42</v>
      </c>
      <c r="O11" s="408" t="s">
        <v>44</v>
      </c>
      <c r="P11" s="409"/>
      <c r="Q11" s="409"/>
      <c r="R11" s="409"/>
      <c r="S11" s="409"/>
      <c r="T11" s="409"/>
      <c r="U11" s="409"/>
      <c r="V11" s="410" t="s">
        <v>44</v>
      </c>
      <c r="W11" s="410"/>
      <c r="X11" s="410"/>
      <c r="Y11" s="410"/>
      <c r="Z11" s="410"/>
      <c r="AA11" s="406" t="s">
        <v>66</v>
      </c>
      <c r="AB11" s="406" t="s">
        <v>67</v>
      </c>
    </row>
    <row r="12" spans="1:28" s="152" customFormat="1" ht="96" customHeight="1" x14ac:dyDescent="0.25">
      <c r="A12" s="405"/>
      <c r="B12" s="405"/>
      <c r="C12" s="405"/>
      <c r="D12" s="405"/>
      <c r="E12" s="405"/>
      <c r="F12" s="405"/>
      <c r="G12" s="405"/>
      <c r="H12" s="405"/>
      <c r="I12" s="412"/>
      <c r="J12" s="414"/>
      <c r="K12" s="405"/>
      <c r="L12" s="407"/>
      <c r="M12" s="407"/>
      <c r="N12" s="407"/>
      <c r="O12" s="39">
        <v>0.1</v>
      </c>
      <c r="P12" s="39" t="s">
        <v>73</v>
      </c>
      <c r="Q12" s="55" t="s">
        <v>48</v>
      </c>
      <c r="R12" s="55" t="s">
        <v>356</v>
      </c>
      <c r="S12" s="55" t="s">
        <v>55</v>
      </c>
      <c r="T12" s="55" t="s">
        <v>54</v>
      </c>
      <c r="U12" s="55" t="s">
        <v>50</v>
      </c>
      <c r="V12" s="137" t="s">
        <v>45</v>
      </c>
      <c r="W12" s="137" t="s">
        <v>46</v>
      </c>
      <c r="X12" s="137" t="s">
        <v>49</v>
      </c>
      <c r="Y12" s="137" t="s">
        <v>47</v>
      </c>
      <c r="Z12" s="137" t="s">
        <v>68</v>
      </c>
      <c r="AA12" s="407"/>
      <c r="AB12" s="407"/>
    </row>
    <row r="13" spans="1:28" s="147" customFormat="1" ht="26" x14ac:dyDescent="0.25">
      <c r="A13" s="77">
        <v>1</v>
      </c>
      <c r="B13" s="142" t="s">
        <v>5</v>
      </c>
      <c r="C13" s="142" t="s">
        <v>74</v>
      </c>
      <c r="D13" s="146" t="s">
        <v>37</v>
      </c>
      <c r="E13" s="77">
        <v>1</v>
      </c>
      <c r="F13" s="103"/>
      <c r="G13" s="77" t="s">
        <v>318</v>
      </c>
      <c r="H13" s="75" t="s">
        <v>359</v>
      </c>
      <c r="I13" s="113">
        <v>6.58</v>
      </c>
      <c r="J13" s="104">
        <v>17697</v>
      </c>
      <c r="K13" s="76">
        <v>1.75</v>
      </c>
      <c r="L13" s="104">
        <f t="shared" ref="L13:L131" si="0">(I13*17697*E13)*K13</f>
        <v>203780.95499999999</v>
      </c>
      <c r="M13" s="104">
        <v>0</v>
      </c>
      <c r="N13" s="104">
        <f>L13+M13</f>
        <v>203780.95499999999</v>
      </c>
      <c r="O13" s="104">
        <f>N13*10%</f>
        <v>20378.095499999999</v>
      </c>
      <c r="P13" s="104"/>
      <c r="Q13" s="153"/>
      <c r="R13" s="153"/>
      <c r="S13" s="105"/>
      <c r="T13" s="153"/>
      <c r="U13" s="105"/>
      <c r="V13" s="105"/>
      <c r="W13" s="105"/>
      <c r="X13" s="105"/>
      <c r="Y13" s="105"/>
      <c r="Z13" s="105"/>
      <c r="AA13" s="105">
        <f>SUM(N13:Z13)</f>
        <v>224159.05049999998</v>
      </c>
      <c r="AB13" s="105">
        <f>AA13*12/1000</f>
        <v>2689.9086059999995</v>
      </c>
    </row>
    <row r="14" spans="1:28" s="147" customFormat="1" ht="52" x14ac:dyDescent="0.25">
      <c r="A14" s="77">
        <v>2</v>
      </c>
      <c r="B14" s="142" t="s">
        <v>182</v>
      </c>
      <c r="C14" s="142" t="s">
        <v>77</v>
      </c>
      <c r="D14" s="146" t="s">
        <v>37</v>
      </c>
      <c r="E14" s="77">
        <v>1</v>
      </c>
      <c r="F14" s="103">
        <v>1</v>
      </c>
      <c r="G14" s="77" t="s">
        <v>319</v>
      </c>
      <c r="H14" s="75" t="s">
        <v>360</v>
      </c>
      <c r="I14" s="113">
        <v>6.6</v>
      </c>
      <c r="J14" s="104">
        <v>17697</v>
      </c>
      <c r="K14" s="76">
        <v>1.75</v>
      </c>
      <c r="L14" s="104">
        <f t="shared" si="0"/>
        <v>204400.35</v>
      </c>
      <c r="M14" s="104">
        <v>0</v>
      </c>
      <c r="N14" s="104">
        <f t="shared" ref="N14:N77" si="1">L14+M14</f>
        <v>204400.35</v>
      </c>
      <c r="O14" s="104">
        <f t="shared" ref="O14:O77" si="2">N14*10%</f>
        <v>20440.035000000003</v>
      </c>
      <c r="P14" s="104"/>
      <c r="Q14" s="153"/>
      <c r="R14" s="153"/>
      <c r="S14" s="105"/>
      <c r="T14" s="153"/>
      <c r="U14" s="105"/>
      <c r="V14" s="105"/>
      <c r="W14" s="105"/>
      <c r="X14" s="105"/>
      <c r="Y14" s="105"/>
      <c r="Z14" s="105">
        <f>N14</f>
        <v>204400.35</v>
      </c>
      <c r="AA14" s="105">
        <f t="shared" ref="AA14:AA77" si="3">SUM(N14:Z14)</f>
        <v>429240.73499999999</v>
      </c>
      <c r="AB14" s="105">
        <f t="shared" ref="AB14:AB77" si="4">AA14*12/1000</f>
        <v>5150.8888200000001</v>
      </c>
    </row>
    <row r="15" spans="1:28" s="147" customFormat="1" ht="26" x14ac:dyDescent="0.25">
      <c r="A15" s="77">
        <v>3</v>
      </c>
      <c r="B15" s="142" t="s">
        <v>183</v>
      </c>
      <c r="C15" s="142" t="s">
        <v>75</v>
      </c>
      <c r="D15" s="146" t="s">
        <v>37</v>
      </c>
      <c r="E15" s="77">
        <v>1</v>
      </c>
      <c r="F15" s="103">
        <v>1</v>
      </c>
      <c r="G15" s="77" t="s">
        <v>319</v>
      </c>
      <c r="H15" s="75" t="s">
        <v>361</v>
      </c>
      <c r="I15" s="113">
        <v>6.25</v>
      </c>
      <c r="J15" s="104">
        <v>17697</v>
      </c>
      <c r="K15" s="76">
        <v>1.75</v>
      </c>
      <c r="L15" s="104">
        <f t="shared" si="0"/>
        <v>193560.9375</v>
      </c>
      <c r="M15" s="104">
        <v>0</v>
      </c>
      <c r="N15" s="104">
        <f t="shared" si="1"/>
        <v>193560.9375</v>
      </c>
      <c r="O15" s="104">
        <f t="shared" si="2"/>
        <v>19356.09375</v>
      </c>
      <c r="P15" s="104"/>
      <c r="Q15" s="153"/>
      <c r="R15" s="153"/>
      <c r="S15" s="105"/>
      <c r="T15" s="153"/>
      <c r="U15" s="105"/>
      <c r="V15" s="105"/>
      <c r="W15" s="105"/>
      <c r="X15" s="105"/>
      <c r="Y15" s="105"/>
      <c r="Z15" s="105">
        <f>N15</f>
        <v>193560.9375</v>
      </c>
      <c r="AA15" s="105">
        <f t="shared" si="3"/>
        <v>406477.96875</v>
      </c>
      <c r="AB15" s="105">
        <f t="shared" si="4"/>
        <v>4877.7356250000003</v>
      </c>
    </row>
    <row r="16" spans="1:28" s="147" customFormat="1" ht="39" x14ac:dyDescent="0.25">
      <c r="A16" s="77">
        <v>4</v>
      </c>
      <c r="B16" s="64" t="s">
        <v>184</v>
      </c>
      <c r="C16" s="142" t="s">
        <v>185</v>
      </c>
      <c r="D16" s="146" t="s">
        <v>37</v>
      </c>
      <c r="E16" s="77">
        <v>1</v>
      </c>
      <c r="F16" s="103"/>
      <c r="G16" s="140" t="s">
        <v>319</v>
      </c>
      <c r="H16" s="75" t="s">
        <v>362</v>
      </c>
      <c r="I16" s="114">
        <v>6.08</v>
      </c>
      <c r="J16" s="104">
        <v>17697</v>
      </c>
      <c r="K16" s="76">
        <v>1.75</v>
      </c>
      <c r="L16" s="104">
        <f t="shared" si="0"/>
        <v>188296.08</v>
      </c>
      <c r="M16" s="104">
        <v>0</v>
      </c>
      <c r="N16" s="104">
        <f t="shared" si="1"/>
        <v>188296.08</v>
      </c>
      <c r="O16" s="104">
        <f t="shared" si="2"/>
        <v>18829.608</v>
      </c>
      <c r="P16" s="104"/>
      <c r="Q16" s="153"/>
      <c r="R16" s="153"/>
      <c r="S16" s="105"/>
      <c r="T16" s="153"/>
      <c r="U16" s="105"/>
      <c r="V16" s="105"/>
      <c r="W16" s="105"/>
      <c r="X16" s="105"/>
      <c r="Y16" s="105"/>
      <c r="Z16" s="105"/>
      <c r="AA16" s="105">
        <f t="shared" si="3"/>
        <v>207125.68799999999</v>
      </c>
      <c r="AB16" s="105">
        <f t="shared" si="4"/>
        <v>2485.5082560000001</v>
      </c>
    </row>
    <row r="17" spans="1:28" s="147" customFormat="1" ht="26" x14ac:dyDescent="0.25">
      <c r="A17" s="77">
        <v>5</v>
      </c>
      <c r="B17" s="142" t="s">
        <v>186</v>
      </c>
      <c r="C17" s="142" t="s">
        <v>187</v>
      </c>
      <c r="D17" s="146" t="s">
        <v>37</v>
      </c>
      <c r="E17" s="77">
        <v>1</v>
      </c>
      <c r="F17" s="103">
        <v>1</v>
      </c>
      <c r="G17" s="77" t="s">
        <v>319</v>
      </c>
      <c r="H17" s="75" t="s">
        <v>363</v>
      </c>
      <c r="I17" s="113">
        <v>6.6</v>
      </c>
      <c r="J17" s="104">
        <v>17697</v>
      </c>
      <c r="K17" s="76">
        <v>1.75</v>
      </c>
      <c r="L17" s="104">
        <f t="shared" si="0"/>
        <v>204400.35</v>
      </c>
      <c r="M17" s="104">
        <v>0</v>
      </c>
      <c r="N17" s="104">
        <f t="shared" si="1"/>
        <v>204400.35</v>
      </c>
      <c r="O17" s="104">
        <f t="shared" si="2"/>
        <v>20440.035000000003</v>
      </c>
      <c r="P17" s="104"/>
      <c r="Q17" s="153"/>
      <c r="R17" s="153"/>
      <c r="S17" s="105"/>
      <c r="T17" s="153"/>
      <c r="U17" s="105"/>
      <c r="V17" s="105"/>
      <c r="W17" s="105"/>
      <c r="X17" s="105"/>
      <c r="Y17" s="105"/>
      <c r="Z17" s="105">
        <f>N17</f>
        <v>204400.35</v>
      </c>
      <c r="AA17" s="105">
        <f t="shared" si="3"/>
        <v>429240.73499999999</v>
      </c>
      <c r="AB17" s="105">
        <f t="shared" si="4"/>
        <v>5150.8888200000001</v>
      </c>
    </row>
    <row r="18" spans="1:28" s="147" customFormat="1" ht="26" x14ac:dyDescent="0.25">
      <c r="A18" s="77">
        <v>6</v>
      </c>
      <c r="B18" s="142" t="s">
        <v>183</v>
      </c>
      <c r="C18" s="142" t="s">
        <v>188</v>
      </c>
      <c r="D18" s="146" t="s">
        <v>37</v>
      </c>
      <c r="E18" s="77">
        <v>0.5</v>
      </c>
      <c r="F18" s="103">
        <v>2</v>
      </c>
      <c r="G18" s="77" t="s">
        <v>319</v>
      </c>
      <c r="H18" s="75" t="s">
        <v>364</v>
      </c>
      <c r="I18" s="113">
        <v>6.25</v>
      </c>
      <c r="J18" s="104">
        <v>17697</v>
      </c>
      <c r="K18" s="76">
        <v>1.75</v>
      </c>
      <c r="L18" s="104">
        <f t="shared" si="0"/>
        <v>96780.46875</v>
      </c>
      <c r="M18" s="104">
        <v>0</v>
      </c>
      <c r="N18" s="104">
        <f t="shared" si="1"/>
        <v>96780.46875</v>
      </c>
      <c r="O18" s="104">
        <f t="shared" si="2"/>
        <v>9678.046875</v>
      </c>
      <c r="P18" s="104"/>
      <c r="Q18" s="153"/>
      <c r="R18" s="153"/>
      <c r="S18" s="105"/>
      <c r="T18" s="153"/>
      <c r="U18" s="105"/>
      <c r="V18" s="105"/>
      <c r="W18" s="105"/>
      <c r="X18" s="105"/>
      <c r="Y18" s="105"/>
      <c r="Z18" s="105">
        <f>N18/2</f>
        <v>48390.234375</v>
      </c>
      <c r="AA18" s="105">
        <f t="shared" si="3"/>
        <v>154848.75</v>
      </c>
      <c r="AB18" s="105">
        <f t="shared" si="4"/>
        <v>1858.1849999999999</v>
      </c>
    </row>
    <row r="19" spans="1:28" s="147" customFormat="1" ht="39" x14ac:dyDescent="0.25">
      <c r="A19" s="77">
        <v>7</v>
      </c>
      <c r="B19" s="142" t="s">
        <v>189</v>
      </c>
      <c r="C19" s="142" t="s">
        <v>190</v>
      </c>
      <c r="D19" s="146" t="s">
        <v>37</v>
      </c>
      <c r="E19" s="77">
        <v>1</v>
      </c>
      <c r="F19" s="103"/>
      <c r="G19" s="77" t="s">
        <v>320</v>
      </c>
      <c r="H19" s="75" t="s">
        <v>365</v>
      </c>
      <c r="I19" s="113">
        <v>5.51</v>
      </c>
      <c r="J19" s="104">
        <v>17697</v>
      </c>
      <c r="K19" s="76">
        <v>1.23</v>
      </c>
      <c r="L19" s="104">
        <f t="shared" si="0"/>
        <v>119937.8781</v>
      </c>
      <c r="M19" s="104">
        <v>0</v>
      </c>
      <c r="N19" s="104">
        <f t="shared" si="1"/>
        <v>119937.8781</v>
      </c>
      <c r="O19" s="104">
        <f t="shared" si="2"/>
        <v>11993.787810000002</v>
      </c>
      <c r="P19" s="104"/>
      <c r="Q19" s="153"/>
      <c r="R19" s="153"/>
      <c r="S19" s="105"/>
      <c r="T19" s="153"/>
      <c r="U19" s="105"/>
      <c r="V19" s="105"/>
      <c r="W19" s="105"/>
      <c r="X19" s="105"/>
      <c r="Y19" s="105"/>
      <c r="Z19" s="105"/>
      <c r="AA19" s="105">
        <f t="shared" si="3"/>
        <v>131931.66591000001</v>
      </c>
      <c r="AB19" s="105">
        <f t="shared" si="4"/>
        <v>1583.1799909200001</v>
      </c>
    </row>
    <row r="20" spans="1:28" s="147" customFormat="1" ht="26" x14ac:dyDescent="0.25">
      <c r="A20" s="77">
        <v>8</v>
      </c>
      <c r="B20" s="142" t="s">
        <v>6</v>
      </c>
      <c r="C20" s="142" t="s">
        <v>191</v>
      </c>
      <c r="D20" s="146" t="s">
        <v>37</v>
      </c>
      <c r="E20" s="77">
        <v>1</v>
      </c>
      <c r="F20" s="103"/>
      <c r="G20" s="77" t="s">
        <v>320</v>
      </c>
      <c r="H20" s="75" t="s">
        <v>366</v>
      </c>
      <c r="I20" s="113">
        <v>5.98</v>
      </c>
      <c r="J20" s="104">
        <v>17697</v>
      </c>
      <c r="K20" s="76">
        <v>1.23</v>
      </c>
      <c r="L20" s="104">
        <f t="shared" si="0"/>
        <v>130168.51380000002</v>
      </c>
      <c r="M20" s="104">
        <v>0</v>
      </c>
      <c r="N20" s="104">
        <f t="shared" si="1"/>
        <v>130168.51380000002</v>
      </c>
      <c r="O20" s="104">
        <f t="shared" si="2"/>
        <v>13016.851380000002</v>
      </c>
      <c r="P20" s="104"/>
      <c r="Q20" s="153"/>
      <c r="R20" s="153"/>
      <c r="S20" s="105"/>
      <c r="T20" s="153"/>
      <c r="U20" s="105"/>
      <c r="V20" s="105"/>
      <c r="W20" s="105"/>
      <c r="X20" s="105"/>
      <c r="Y20" s="105"/>
      <c r="Z20" s="105"/>
      <c r="AA20" s="105">
        <f t="shared" si="3"/>
        <v>143185.36518000002</v>
      </c>
      <c r="AB20" s="105">
        <f t="shared" si="4"/>
        <v>1718.2243821600002</v>
      </c>
    </row>
    <row r="21" spans="1:28" s="147" customFormat="1" ht="26" x14ac:dyDescent="0.25">
      <c r="A21" s="77">
        <v>9</v>
      </c>
      <c r="B21" s="142" t="s">
        <v>192</v>
      </c>
      <c r="C21" s="142" t="s">
        <v>191</v>
      </c>
      <c r="D21" s="146" t="s">
        <v>37</v>
      </c>
      <c r="E21" s="77">
        <v>0.5</v>
      </c>
      <c r="F21" s="103"/>
      <c r="G21" s="103" t="s">
        <v>321</v>
      </c>
      <c r="H21" s="156" t="s">
        <v>366</v>
      </c>
      <c r="I21" s="157">
        <v>4.6100000000000003</v>
      </c>
      <c r="J21" s="104">
        <v>17697</v>
      </c>
      <c r="K21" s="76">
        <v>1.23</v>
      </c>
      <c r="L21" s="104">
        <f t="shared" si="0"/>
        <v>50173.649550000009</v>
      </c>
      <c r="M21" s="104"/>
      <c r="N21" s="104">
        <f t="shared" si="1"/>
        <v>50173.649550000009</v>
      </c>
      <c r="O21" s="104">
        <f t="shared" si="2"/>
        <v>5017.3649550000009</v>
      </c>
      <c r="P21" s="104"/>
      <c r="Q21" s="153"/>
      <c r="R21" s="153"/>
      <c r="S21" s="105"/>
      <c r="T21" s="153"/>
      <c r="U21" s="105"/>
      <c r="V21" s="105"/>
      <c r="W21" s="105"/>
      <c r="X21" s="105"/>
      <c r="Y21" s="105"/>
      <c r="Z21" s="105"/>
      <c r="AA21" s="105">
        <f t="shared" si="3"/>
        <v>55191.014505000014</v>
      </c>
      <c r="AB21" s="105">
        <f t="shared" si="4"/>
        <v>662.29217406000009</v>
      </c>
    </row>
    <row r="22" spans="1:28" s="147" customFormat="1" ht="26" x14ac:dyDescent="0.25">
      <c r="A22" s="77">
        <v>10</v>
      </c>
      <c r="B22" s="142" t="s">
        <v>192</v>
      </c>
      <c r="C22" s="142" t="s">
        <v>193</v>
      </c>
      <c r="D22" s="146" t="s">
        <v>37</v>
      </c>
      <c r="E22" s="77">
        <v>1.5</v>
      </c>
      <c r="F22" s="103"/>
      <c r="G22" s="77" t="s">
        <v>321</v>
      </c>
      <c r="H22" s="75" t="s">
        <v>367</v>
      </c>
      <c r="I22" s="113">
        <v>4.2699999999999996</v>
      </c>
      <c r="J22" s="104">
        <v>17697</v>
      </c>
      <c r="K22" s="76">
        <v>1.23</v>
      </c>
      <c r="L22" s="104">
        <f t="shared" si="0"/>
        <v>139419.62054999996</v>
      </c>
      <c r="M22" s="104"/>
      <c r="N22" s="104">
        <f t="shared" si="1"/>
        <v>139419.62054999996</v>
      </c>
      <c r="O22" s="104">
        <f t="shared" si="2"/>
        <v>13941.962054999996</v>
      </c>
      <c r="P22" s="104"/>
      <c r="Q22" s="153"/>
      <c r="R22" s="153"/>
      <c r="S22" s="105"/>
      <c r="T22" s="153"/>
      <c r="U22" s="105"/>
      <c r="V22" s="105"/>
      <c r="W22" s="105"/>
      <c r="X22" s="105"/>
      <c r="Y22" s="105"/>
      <c r="Z22" s="105"/>
      <c r="AA22" s="105">
        <f t="shared" si="3"/>
        <v>153361.58260499995</v>
      </c>
      <c r="AB22" s="105">
        <f t="shared" si="4"/>
        <v>1840.3389912599994</v>
      </c>
    </row>
    <row r="23" spans="1:28" s="147" customFormat="1" ht="26" x14ac:dyDescent="0.25">
      <c r="A23" s="77">
        <v>11</v>
      </c>
      <c r="B23" s="142" t="s">
        <v>194</v>
      </c>
      <c r="C23" s="142" t="s">
        <v>141</v>
      </c>
      <c r="D23" s="146" t="s">
        <v>37</v>
      </c>
      <c r="E23" s="77">
        <v>1</v>
      </c>
      <c r="F23" s="103"/>
      <c r="G23" s="77" t="s">
        <v>322</v>
      </c>
      <c r="H23" s="75" t="s">
        <v>368</v>
      </c>
      <c r="I23" s="113">
        <v>3.68</v>
      </c>
      <c r="J23" s="104">
        <v>17697</v>
      </c>
      <c r="K23" s="76">
        <v>1.23</v>
      </c>
      <c r="L23" s="104">
        <f t="shared" si="0"/>
        <v>80103.700800000006</v>
      </c>
      <c r="M23" s="104"/>
      <c r="N23" s="104">
        <f t="shared" si="1"/>
        <v>80103.700800000006</v>
      </c>
      <c r="O23" s="104">
        <f t="shared" si="2"/>
        <v>8010.3700800000006</v>
      </c>
      <c r="P23" s="104"/>
      <c r="Q23" s="153"/>
      <c r="R23" s="153"/>
      <c r="S23" s="105"/>
      <c r="T23" s="153"/>
      <c r="U23" s="105"/>
      <c r="V23" s="105"/>
      <c r="W23" s="105"/>
      <c r="X23" s="105"/>
      <c r="Y23" s="105"/>
      <c r="Z23" s="105"/>
      <c r="AA23" s="105">
        <f t="shared" si="3"/>
        <v>88114.070880000014</v>
      </c>
      <c r="AB23" s="105">
        <f t="shared" si="4"/>
        <v>1057.3688505600001</v>
      </c>
    </row>
    <row r="24" spans="1:28" s="147" customFormat="1" ht="26" x14ac:dyDescent="0.25">
      <c r="A24" s="77">
        <v>12</v>
      </c>
      <c r="B24" s="142" t="s">
        <v>195</v>
      </c>
      <c r="C24" s="142" t="s">
        <v>196</v>
      </c>
      <c r="D24" s="146" t="s">
        <v>37</v>
      </c>
      <c r="E24" s="77">
        <v>1</v>
      </c>
      <c r="F24" s="146" t="s">
        <v>37</v>
      </c>
      <c r="G24" s="77" t="s">
        <v>176</v>
      </c>
      <c r="H24" s="75" t="s">
        <v>369</v>
      </c>
      <c r="I24" s="113">
        <v>5.32</v>
      </c>
      <c r="J24" s="104">
        <v>17697</v>
      </c>
      <c r="K24" s="76">
        <v>1.75</v>
      </c>
      <c r="L24" s="104">
        <f t="shared" si="0"/>
        <v>164759.07</v>
      </c>
      <c r="M24" s="104"/>
      <c r="N24" s="104">
        <f t="shared" si="1"/>
        <v>164759.07</v>
      </c>
      <c r="O24" s="104">
        <f t="shared" si="2"/>
        <v>16475.907000000003</v>
      </c>
      <c r="P24" s="104"/>
      <c r="Q24" s="153"/>
      <c r="R24" s="153"/>
      <c r="S24" s="105"/>
      <c r="T24" s="153"/>
      <c r="U24" s="105"/>
      <c r="V24" s="105"/>
      <c r="W24" s="105"/>
      <c r="X24" s="105"/>
      <c r="Y24" s="105"/>
      <c r="Z24" s="105"/>
      <c r="AA24" s="105">
        <f t="shared" si="3"/>
        <v>181234.97700000001</v>
      </c>
      <c r="AB24" s="105">
        <f t="shared" si="4"/>
        <v>2174.8197240000004</v>
      </c>
    </row>
    <row r="25" spans="1:28" s="147" customFormat="1" ht="13" x14ac:dyDescent="0.25">
      <c r="A25" s="77">
        <v>13</v>
      </c>
      <c r="B25" s="142" t="s">
        <v>197</v>
      </c>
      <c r="C25" s="142" t="s">
        <v>198</v>
      </c>
      <c r="D25" s="146" t="s">
        <v>37</v>
      </c>
      <c r="E25" s="77">
        <v>1</v>
      </c>
      <c r="F25" s="103"/>
      <c r="G25" s="77" t="s">
        <v>180</v>
      </c>
      <c r="H25" s="75" t="s">
        <v>370</v>
      </c>
      <c r="I25" s="113">
        <v>4.0999999999999996</v>
      </c>
      <c r="J25" s="104">
        <v>17697</v>
      </c>
      <c r="K25" s="76">
        <v>1.75</v>
      </c>
      <c r="L25" s="104">
        <f t="shared" si="0"/>
        <v>126975.97499999999</v>
      </c>
      <c r="M25" s="104"/>
      <c r="N25" s="104">
        <f t="shared" si="1"/>
        <v>126975.97499999999</v>
      </c>
      <c r="O25" s="104">
        <f t="shared" si="2"/>
        <v>12697.5975</v>
      </c>
      <c r="P25" s="104"/>
      <c r="Q25" s="153"/>
      <c r="R25" s="153"/>
      <c r="S25" s="105"/>
      <c r="T25" s="153"/>
      <c r="U25" s="105"/>
      <c r="V25" s="105"/>
      <c r="W25" s="105"/>
      <c r="X25" s="105"/>
      <c r="Y25" s="105"/>
      <c r="Z25" s="105"/>
      <c r="AA25" s="105">
        <f t="shared" si="3"/>
        <v>139673.57249999998</v>
      </c>
      <c r="AB25" s="105">
        <f t="shared" si="4"/>
        <v>1676.0828699999997</v>
      </c>
    </row>
    <row r="26" spans="1:28" s="147" customFormat="1" ht="26" x14ac:dyDescent="0.25">
      <c r="A26" s="77">
        <v>14</v>
      </c>
      <c r="B26" s="143" t="s">
        <v>199</v>
      </c>
      <c r="C26" s="143" t="s">
        <v>200</v>
      </c>
      <c r="D26" s="146" t="s">
        <v>37</v>
      </c>
      <c r="E26" s="103">
        <v>1</v>
      </c>
      <c r="F26" s="146" t="s">
        <v>37</v>
      </c>
      <c r="G26" s="103" t="s">
        <v>323</v>
      </c>
      <c r="H26" s="75" t="s">
        <v>371</v>
      </c>
      <c r="I26" s="113">
        <v>4.55</v>
      </c>
      <c r="J26" s="104">
        <v>17697</v>
      </c>
      <c r="K26" s="76">
        <v>1.75</v>
      </c>
      <c r="L26" s="104">
        <f t="shared" si="0"/>
        <v>140912.36249999999</v>
      </c>
      <c r="M26" s="104"/>
      <c r="N26" s="104">
        <f t="shared" si="1"/>
        <v>140912.36249999999</v>
      </c>
      <c r="O26" s="104">
        <f t="shared" si="2"/>
        <v>14091.23625</v>
      </c>
      <c r="P26" s="104"/>
      <c r="Q26" s="153"/>
      <c r="R26" s="153"/>
      <c r="S26" s="105"/>
      <c r="T26" s="153"/>
      <c r="U26" s="105"/>
      <c r="V26" s="105"/>
      <c r="W26" s="105"/>
      <c r="X26" s="105"/>
      <c r="Y26" s="105"/>
      <c r="Z26" s="105"/>
      <c r="AA26" s="105">
        <f t="shared" si="3"/>
        <v>155003.59874999998</v>
      </c>
      <c r="AB26" s="105">
        <f t="shared" si="4"/>
        <v>1860.0431849999995</v>
      </c>
    </row>
    <row r="27" spans="1:28" s="147" customFormat="1" ht="26" x14ac:dyDescent="0.25">
      <c r="A27" s="77">
        <v>15</v>
      </c>
      <c r="B27" s="142" t="s">
        <v>201</v>
      </c>
      <c r="C27" s="142" t="s">
        <v>202</v>
      </c>
      <c r="D27" s="146" t="s">
        <v>37</v>
      </c>
      <c r="E27" s="77">
        <v>0.5</v>
      </c>
      <c r="F27" s="146" t="s">
        <v>37</v>
      </c>
      <c r="G27" s="77" t="s">
        <v>323</v>
      </c>
      <c r="H27" s="75" t="s">
        <v>372</v>
      </c>
      <c r="I27" s="113">
        <v>4.75</v>
      </c>
      <c r="J27" s="104">
        <v>17697</v>
      </c>
      <c r="K27" s="76">
        <v>1.75</v>
      </c>
      <c r="L27" s="104">
        <f t="shared" si="0"/>
        <v>73553.15625</v>
      </c>
      <c r="M27" s="104"/>
      <c r="N27" s="104">
        <f t="shared" si="1"/>
        <v>73553.15625</v>
      </c>
      <c r="O27" s="104">
        <f t="shared" si="2"/>
        <v>7355.3156250000002</v>
      </c>
      <c r="P27" s="104"/>
      <c r="Q27" s="153"/>
      <c r="R27" s="153"/>
      <c r="S27" s="105"/>
      <c r="T27" s="153"/>
      <c r="U27" s="105"/>
      <c r="V27" s="105"/>
      <c r="W27" s="105"/>
      <c r="X27" s="105"/>
      <c r="Y27" s="105"/>
      <c r="Z27" s="105"/>
      <c r="AA27" s="105">
        <f t="shared" si="3"/>
        <v>80908.471875000003</v>
      </c>
      <c r="AB27" s="105">
        <f t="shared" si="4"/>
        <v>970.90166250000004</v>
      </c>
    </row>
    <row r="28" spans="1:28" s="147" customFormat="1" ht="26" x14ac:dyDescent="0.25">
      <c r="A28" s="77">
        <v>16</v>
      </c>
      <c r="B28" s="142" t="s">
        <v>203</v>
      </c>
      <c r="C28" s="142" t="s">
        <v>202</v>
      </c>
      <c r="D28" s="146" t="s">
        <v>37</v>
      </c>
      <c r="E28" s="77">
        <v>1</v>
      </c>
      <c r="F28" s="146" t="s">
        <v>37</v>
      </c>
      <c r="G28" s="77" t="s">
        <v>323</v>
      </c>
      <c r="H28" s="75" t="s">
        <v>372</v>
      </c>
      <c r="I28" s="113">
        <v>4.75</v>
      </c>
      <c r="J28" s="104">
        <v>17697</v>
      </c>
      <c r="K28" s="76">
        <v>1.75</v>
      </c>
      <c r="L28" s="104">
        <f t="shared" si="0"/>
        <v>147106.3125</v>
      </c>
      <c r="M28" s="104"/>
      <c r="N28" s="104">
        <f t="shared" si="1"/>
        <v>147106.3125</v>
      </c>
      <c r="O28" s="104">
        <f t="shared" si="2"/>
        <v>14710.63125</v>
      </c>
      <c r="P28" s="104"/>
      <c r="Q28" s="153"/>
      <c r="R28" s="153"/>
      <c r="S28" s="105"/>
      <c r="T28" s="153"/>
      <c r="U28" s="105"/>
      <c r="V28" s="105"/>
      <c r="W28" s="105"/>
      <c r="X28" s="105"/>
      <c r="Y28" s="105"/>
      <c r="Z28" s="105"/>
      <c r="AA28" s="105">
        <f t="shared" si="3"/>
        <v>161816.94375000001</v>
      </c>
      <c r="AB28" s="105">
        <f t="shared" si="4"/>
        <v>1941.8033250000001</v>
      </c>
    </row>
    <row r="29" spans="1:28" s="147" customFormat="1" ht="26" x14ac:dyDescent="0.25">
      <c r="A29" s="77">
        <v>17</v>
      </c>
      <c r="B29" s="142" t="s">
        <v>204</v>
      </c>
      <c r="C29" s="142" t="s">
        <v>205</v>
      </c>
      <c r="D29" s="146" t="s">
        <v>347</v>
      </c>
      <c r="E29" s="77">
        <v>1</v>
      </c>
      <c r="F29" s="146" t="s">
        <v>37</v>
      </c>
      <c r="G29" s="77" t="s">
        <v>176</v>
      </c>
      <c r="H29" s="75" t="s">
        <v>373</v>
      </c>
      <c r="I29" s="113">
        <v>5.99</v>
      </c>
      <c r="J29" s="104">
        <v>17697</v>
      </c>
      <c r="K29" s="76">
        <v>2.63</v>
      </c>
      <c r="L29" s="104">
        <f t="shared" si="0"/>
        <v>278793.22889999999</v>
      </c>
      <c r="M29" s="104"/>
      <c r="N29" s="104">
        <f t="shared" si="1"/>
        <v>278793.22889999999</v>
      </c>
      <c r="O29" s="104">
        <f t="shared" si="2"/>
        <v>27879.322889999999</v>
      </c>
      <c r="P29" s="104"/>
      <c r="Q29" s="153"/>
      <c r="R29" s="153"/>
      <c r="S29" s="105"/>
      <c r="T29" s="153"/>
      <c r="U29" s="105"/>
      <c r="V29" s="105"/>
      <c r="W29" s="105"/>
      <c r="X29" s="105"/>
      <c r="Y29" s="105"/>
      <c r="Z29" s="105"/>
      <c r="AA29" s="105">
        <f t="shared" si="3"/>
        <v>306672.55179</v>
      </c>
      <c r="AB29" s="105">
        <f t="shared" si="4"/>
        <v>3680.0706214800002</v>
      </c>
    </row>
    <row r="30" spans="1:28" s="147" customFormat="1" ht="39" x14ac:dyDescent="0.25">
      <c r="A30" s="77">
        <v>18</v>
      </c>
      <c r="B30" s="142" t="s">
        <v>206</v>
      </c>
      <c r="C30" s="142" t="s">
        <v>207</v>
      </c>
      <c r="D30" s="146" t="s">
        <v>348</v>
      </c>
      <c r="E30" s="77">
        <v>0.5</v>
      </c>
      <c r="F30" s="146" t="s">
        <v>37</v>
      </c>
      <c r="G30" s="77" t="s">
        <v>324</v>
      </c>
      <c r="H30" s="75" t="s">
        <v>374</v>
      </c>
      <c r="I30" s="113">
        <v>4.46</v>
      </c>
      <c r="J30" s="104">
        <v>17697</v>
      </c>
      <c r="K30" s="76">
        <v>1.95</v>
      </c>
      <c r="L30" s="104">
        <f t="shared" si="0"/>
        <v>76955.40449999999</v>
      </c>
      <c r="M30" s="104"/>
      <c r="N30" s="104">
        <f t="shared" si="1"/>
        <v>76955.40449999999</v>
      </c>
      <c r="O30" s="104">
        <f t="shared" si="2"/>
        <v>7695.5404499999995</v>
      </c>
      <c r="P30" s="104"/>
      <c r="Q30" s="153"/>
      <c r="R30" s="153"/>
      <c r="S30" s="105"/>
      <c r="T30" s="153"/>
      <c r="U30" s="105"/>
      <c r="V30" s="105"/>
      <c r="W30" s="105"/>
      <c r="X30" s="105"/>
      <c r="Y30" s="105"/>
      <c r="Z30" s="105"/>
      <c r="AA30" s="105">
        <f t="shared" si="3"/>
        <v>84650.94494999999</v>
      </c>
      <c r="AB30" s="105">
        <f t="shared" si="4"/>
        <v>1015.8113394</v>
      </c>
    </row>
    <row r="31" spans="1:28" s="147" customFormat="1" ht="39" x14ac:dyDescent="0.25">
      <c r="A31" s="77">
        <v>19</v>
      </c>
      <c r="B31" s="142" t="s">
        <v>206</v>
      </c>
      <c r="C31" s="142" t="s">
        <v>208</v>
      </c>
      <c r="D31" s="146" t="s">
        <v>348</v>
      </c>
      <c r="E31" s="77">
        <v>1</v>
      </c>
      <c r="F31" s="103"/>
      <c r="G31" s="77" t="s">
        <v>325</v>
      </c>
      <c r="H31" s="75" t="s">
        <v>369</v>
      </c>
      <c r="I31" s="113">
        <v>3.41</v>
      </c>
      <c r="J31" s="104">
        <v>17697</v>
      </c>
      <c r="K31" s="76">
        <v>1.95</v>
      </c>
      <c r="L31" s="104">
        <f t="shared" si="0"/>
        <v>117676.20150000001</v>
      </c>
      <c r="M31" s="104"/>
      <c r="N31" s="104">
        <f t="shared" si="1"/>
        <v>117676.20150000001</v>
      </c>
      <c r="O31" s="104">
        <f t="shared" si="2"/>
        <v>11767.620150000002</v>
      </c>
      <c r="P31" s="104"/>
      <c r="Q31" s="153"/>
      <c r="R31" s="153"/>
      <c r="S31" s="105"/>
      <c r="T31" s="153"/>
      <c r="U31" s="105"/>
      <c r="V31" s="105"/>
      <c r="W31" s="105"/>
      <c r="X31" s="105"/>
      <c r="Y31" s="105"/>
      <c r="Z31" s="105"/>
      <c r="AA31" s="105">
        <f t="shared" si="3"/>
        <v>129443.82165000001</v>
      </c>
      <c r="AB31" s="105">
        <f t="shared" si="4"/>
        <v>1553.3258598000002</v>
      </c>
    </row>
    <row r="32" spans="1:28" s="147" customFormat="1" ht="26" x14ac:dyDescent="0.25">
      <c r="A32" s="77">
        <v>20</v>
      </c>
      <c r="B32" s="142" t="s">
        <v>209</v>
      </c>
      <c r="C32" s="142" t="s">
        <v>210</v>
      </c>
      <c r="D32" s="146" t="s">
        <v>37</v>
      </c>
      <c r="E32" s="77">
        <v>1</v>
      </c>
      <c r="F32" s="103"/>
      <c r="G32" s="77" t="s">
        <v>13</v>
      </c>
      <c r="H32" s="75" t="s">
        <v>375</v>
      </c>
      <c r="I32" s="113">
        <v>4</v>
      </c>
      <c r="J32" s="104">
        <v>17697</v>
      </c>
      <c r="K32" s="76">
        <v>1.23</v>
      </c>
      <c r="L32" s="104">
        <f t="shared" si="0"/>
        <v>87069.24</v>
      </c>
      <c r="M32" s="104"/>
      <c r="N32" s="104">
        <f t="shared" si="1"/>
        <v>87069.24</v>
      </c>
      <c r="O32" s="104">
        <f t="shared" si="2"/>
        <v>8706.9240000000009</v>
      </c>
      <c r="P32" s="104"/>
      <c r="Q32" s="153"/>
      <c r="R32" s="153"/>
      <c r="S32" s="105"/>
      <c r="T32" s="153"/>
      <c r="U32" s="105"/>
      <c r="V32" s="105"/>
      <c r="W32" s="105"/>
      <c r="X32" s="105"/>
      <c r="Y32" s="105"/>
      <c r="Z32" s="105"/>
      <c r="AA32" s="105">
        <f t="shared" si="3"/>
        <v>95776.164000000004</v>
      </c>
      <c r="AB32" s="105">
        <f t="shared" si="4"/>
        <v>1149.3139680000002</v>
      </c>
    </row>
    <row r="33" spans="1:28" s="147" customFormat="1" ht="26" x14ac:dyDescent="0.25">
      <c r="A33" s="77">
        <v>21</v>
      </c>
      <c r="B33" s="142" t="s">
        <v>209</v>
      </c>
      <c r="C33" s="142" t="s">
        <v>211</v>
      </c>
      <c r="D33" s="146" t="s">
        <v>37</v>
      </c>
      <c r="E33" s="77">
        <v>1</v>
      </c>
      <c r="F33" s="103"/>
      <c r="G33" s="77" t="s">
        <v>13</v>
      </c>
      <c r="H33" s="75" t="s">
        <v>376</v>
      </c>
      <c r="I33" s="113">
        <v>3.94</v>
      </c>
      <c r="J33" s="104">
        <v>17697</v>
      </c>
      <c r="K33" s="76">
        <v>1.23</v>
      </c>
      <c r="L33" s="104">
        <f t="shared" si="0"/>
        <v>85763.201399999991</v>
      </c>
      <c r="M33" s="104"/>
      <c r="N33" s="104">
        <f t="shared" si="1"/>
        <v>85763.201399999991</v>
      </c>
      <c r="O33" s="104">
        <f t="shared" si="2"/>
        <v>8576.3201399999998</v>
      </c>
      <c r="P33" s="104"/>
      <c r="Q33" s="154"/>
      <c r="R33" s="153"/>
      <c r="S33" s="105"/>
      <c r="T33" s="153"/>
      <c r="U33" s="105"/>
      <c r="V33" s="105"/>
      <c r="W33" s="105"/>
      <c r="X33" s="105"/>
      <c r="Y33" s="105"/>
      <c r="Z33" s="105"/>
      <c r="AA33" s="105">
        <f t="shared" si="3"/>
        <v>94339.521539999987</v>
      </c>
      <c r="AB33" s="105">
        <f t="shared" si="4"/>
        <v>1132.0742584799998</v>
      </c>
    </row>
    <row r="34" spans="1:28" s="147" customFormat="1" ht="26" x14ac:dyDescent="0.25">
      <c r="A34" s="77">
        <v>22</v>
      </c>
      <c r="B34" s="142" t="s">
        <v>209</v>
      </c>
      <c r="C34" s="142" t="s">
        <v>212</v>
      </c>
      <c r="D34" s="146" t="s">
        <v>37</v>
      </c>
      <c r="E34" s="77">
        <v>1</v>
      </c>
      <c r="F34" s="103"/>
      <c r="G34" s="77" t="s">
        <v>13</v>
      </c>
      <c r="H34" s="75" t="s">
        <v>377</v>
      </c>
      <c r="I34" s="113">
        <v>3.94</v>
      </c>
      <c r="J34" s="104">
        <v>17697</v>
      </c>
      <c r="K34" s="76">
        <v>1.23</v>
      </c>
      <c r="L34" s="104">
        <f t="shared" si="0"/>
        <v>85763.201399999991</v>
      </c>
      <c r="M34" s="104"/>
      <c r="N34" s="104">
        <f t="shared" si="1"/>
        <v>85763.201399999991</v>
      </c>
      <c r="O34" s="104">
        <f t="shared" si="2"/>
        <v>8576.3201399999998</v>
      </c>
      <c r="P34" s="104"/>
      <c r="Q34" s="153"/>
      <c r="R34" s="153"/>
      <c r="S34" s="105"/>
      <c r="T34" s="153"/>
      <c r="U34" s="105"/>
      <c r="V34" s="105"/>
      <c r="W34" s="105"/>
      <c r="X34" s="105"/>
      <c r="Y34" s="105"/>
      <c r="Z34" s="105"/>
      <c r="AA34" s="105">
        <f t="shared" si="3"/>
        <v>94339.521539999987</v>
      </c>
      <c r="AB34" s="105">
        <f t="shared" si="4"/>
        <v>1132.0742584799998</v>
      </c>
    </row>
    <row r="35" spans="1:28" s="147" customFormat="1" ht="13" x14ac:dyDescent="0.25">
      <c r="A35" s="77">
        <v>23</v>
      </c>
      <c r="B35" s="142" t="s">
        <v>209</v>
      </c>
      <c r="C35" s="142" t="s">
        <v>213</v>
      </c>
      <c r="D35" s="146" t="s">
        <v>37</v>
      </c>
      <c r="E35" s="77">
        <v>1</v>
      </c>
      <c r="F35" s="103"/>
      <c r="G35" s="77" t="s">
        <v>13</v>
      </c>
      <c r="H35" s="75" t="s">
        <v>357</v>
      </c>
      <c r="I35" s="113">
        <v>3.52</v>
      </c>
      <c r="J35" s="104">
        <v>17697</v>
      </c>
      <c r="K35" s="76">
        <v>1.23</v>
      </c>
      <c r="L35" s="104">
        <f t="shared" si="0"/>
        <v>76620.931200000006</v>
      </c>
      <c r="M35" s="104"/>
      <c r="N35" s="104">
        <f t="shared" si="1"/>
        <v>76620.931200000006</v>
      </c>
      <c r="O35" s="104">
        <f t="shared" si="2"/>
        <v>7662.0931200000014</v>
      </c>
      <c r="P35" s="104"/>
      <c r="Q35" s="153"/>
      <c r="R35" s="153"/>
      <c r="S35" s="105"/>
      <c r="T35" s="153"/>
      <c r="U35" s="105"/>
      <c r="V35" s="105"/>
      <c r="W35" s="105"/>
      <c r="X35" s="105"/>
      <c r="Y35" s="105"/>
      <c r="Z35" s="105"/>
      <c r="AA35" s="105">
        <f t="shared" si="3"/>
        <v>84283.024320000011</v>
      </c>
      <c r="AB35" s="105">
        <f t="shared" si="4"/>
        <v>1011.3962918400001</v>
      </c>
    </row>
    <row r="36" spans="1:28" s="147" customFormat="1" ht="26" x14ac:dyDescent="0.25">
      <c r="A36" s="77">
        <v>24</v>
      </c>
      <c r="B36" s="143" t="s">
        <v>209</v>
      </c>
      <c r="C36" s="142" t="s">
        <v>214</v>
      </c>
      <c r="D36" s="146" t="s">
        <v>37</v>
      </c>
      <c r="E36" s="77">
        <v>1</v>
      </c>
      <c r="F36" s="103"/>
      <c r="G36" s="77" t="s">
        <v>13</v>
      </c>
      <c r="H36" s="76" t="s">
        <v>378</v>
      </c>
      <c r="I36" s="113">
        <v>3.85</v>
      </c>
      <c r="J36" s="104">
        <v>17697</v>
      </c>
      <c r="K36" s="76">
        <v>1.23</v>
      </c>
      <c r="L36" s="104">
        <f t="shared" si="0"/>
        <v>83804.143499999991</v>
      </c>
      <c r="M36" s="104"/>
      <c r="N36" s="104">
        <f t="shared" si="1"/>
        <v>83804.143499999991</v>
      </c>
      <c r="O36" s="104">
        <f t="shared" si="2"/>
        <v>8380.4143499999991</v>
      </c>
      <c r="P36" s="104"/>
      <c r="Q36" s="153"/>
      <c r="R36" s="153"/>
      <c r="S36" s="105"/>
      <c r="T36" s="153"/>
      <c r="U36" s="105"/>
      <c r="V36" s="105"/>
      <c r="W36" s="105"/>
      <c r="X36" s="105"/>
      <c r="Y36" s="105"/>
      <c r="Z36" s="105"/>
      <c r="AA36" s="105">
        <f t="shared" si="3"/>
        <v>92184.557849999983</v>
      </c>
      <c r="AB36" s="105">
        <f t="shared" si="4"/>
        <v>1106.2146941999997</v>
      </c>
    </row>
    <row r="37" spans="1:28" s="147" customFormat="1" ht="26" x14ac:dyDescent="0.25">
      <c r="A37" s="77">
        <v>25</v>
      </c>
      <c r="B37" s="142" t="s">
        <v>209</v>
      </c>
      <c r="C37" s="142" t="s">
        <v>215</v>
      </c>
      <c r="D37" s="146" t="s">
        <v>37</v>
      </c>
      <c r="E37" s="77">
        <v>1</v>
      </c>
      <c r="F37" s="103"/>
      <c r="G37" s="77" t="s">
        <v>13</v>
      </c>
      <c r="H37" s="76" t="s">
        <v>379</v>
      </c>
      <c r="I37" s="113">
        <v>3.94</v>
      </c>
      <c r="J37" s="104">
        <v>17697</v>
      </c>
      <c r="K37" s="76">
        <v>1.23</v>
      </c>
      <c r="L37" s="104">
        <f t="shared" si="0"/>
        <v>85763.201399999991</v>
      </c>
      <c r="M37" s="104"/>
      <c r="N37" s="104">
        <f t="shared" si="1"/>
        <v>85763.201399999991</v>
      </c>
      <c r="O37" s="104">
        <f t="shared" si="2"/>
        <v>8576.3201399999998</v>
      </c>
      <c r="P37" s="104"/>
      <c r="Q37" s="153"/>
      <c r="R37" s="153"/>
      <c r="S37" s="105"/>
      <c r="T37" s="153"/>
      <c r="U37" s="105"/>
      <c r="V37" s="105"/>
      <c r="W37" s="105"/>
      <c r="X37" s="105"/>
      <c r="Y37" s="105"/>
      <c r="Z37" s="105"/>
      <c r="AA37" s="105">
        <f t="shared" si="3"/>
        <v>94339.521539999987</v>
      </c>
      <c r="AB37" s="105">
        <f t="shared" si="4"/>
        <v>1132.0742584799998</v>
      </c>
    </row>
    <row r="38" spans="1:28" s="147" customFormat="1" ht="26" x14ac:dyDescent="0.25">
      <c r="A38" s="77">
        <v>26</v>
      </c>
      <c r="B38" s="142" t="s">
        <v>216</v>
      </c>
      <c r="C38" s="142" t="s">
        <v>217</v>
      </c>
      <c r="D38" s="146" t="s">
        <v>37</v>
      </c>
      <c r="E38" s="77">
        <v>1</v>
      </c>
      <c r="F38" s="103"/>
      <c r="G38" s="77" t="s">
        <v>12</v>
      </c>
      <c r="H38" s="75" t="s">
        <v>380</v>
      </c>
      <c r="I38" s="113">
        <v>5.31</v>
      </c>
      <c r="J38" s="104">
        <v>17697</v>
      </c>
      <c r="K38" s="76">
        <v>1.75</v>
      </c>
      <c r="L38" s="104">
        <f t="shared" si="0"/>
        <v>164449.3725</v>
      </c>
      <c r="M38" s="104"/>
      <c r="N38" s="104">
        <f t="shared" si="1"/>
        <v>164449.3725</v>
      </c>
      <c r="O38" s="104">
        <f t="shared" si="2"/>
        <v>16444.937249999999</v>
      </c>
      <c r="P38" s="104"/>
      <c r="Q38" s="153"/>
      <c r="R38" s="153"/>
      <c r="S38" s="105"/>
      <c r="T38" s="153"/>
      <c r="U38" s="105"/>
      <c r="V38" s="105"/>
      <c r="W38" s="105"/>
      <c r="X38" s="105"/>
      <c r="Y38" s="105"/>
      <c r="Z38" s="105"/>
      <c r="AA38" s="105">
        <f t="shared" si="3"/>
        <v>180894.30974999999</v>
      </c>
      <c r="AB38" s="105">
        <f t="shared" si="4"/>
        <v>2170.7317169999997</v>
      </c>
    </row>
    <row r="39" spans="1:28" s="147" customFormat="1" ht="26" x14ac:dyDescent="0.25">
      <c r="A39" s="77">
        <v>27</v>
      </c>
      <c r="B39" s="142" t="s">
        <v>218</v>
      </c>
      <c r="C39" s="142" t="s">
        <v>188</v>
      </c>
      <c r="D39" s="146" t="s">
        <v>37</v>
      </c>
      <c r="E39" s="77">
        <v>0.5</v>
      </c>
      <c r="F39" s="103" t="s">
        <v>37</v>
      </c>
      <c r="G39" s="77" t="s">
        <v>12</v>
      </c>
      <c r="H39" s="75" t="s">
        <v>381</v>
      </c>
      <c r="I39" s="113">
        <v>5.31</v>
      </c>
      <c r="J39" s="104">
        <v>17697</v>
      </c>
      <c r="K39" s="76">
        <v>1.23</v>
      </c>
      <c r="L39" s="104">
        <f t="shared" si="0"/>
        <v>57792.208049999994</v>
      </c>
      <c r="M39" s="104"/>
      <c r="N39" s="104">
        <f t="shared" si="1"/>
        <v>57792.208049999994</v>
      </c>
      <c r="O39" s="104">
        <f t="shared" si="2"/>
        <v>5779.2208049999999</v>
      </c>
      <c r="P39" s="104"/>
      <c r="Q39" s="153"/>
      <c r="R39" s="153"/>
      <c r="S39" s="105"/>
      <c r="T39" s="153"/>
      <c r="U39" s="105"/>
      <c r="V39" s="105"/>
      <c r="W39" s="105"/>
      <c r="X39" s="105"/>
      <c r="Y39" s="105"/>
      <c r="Z39" s="105"/>
      <c r="AA39" s="105">
        <f t="shared" si="3"/>
        <v>63571.428854999991</v>
      </c>
      <c r="AB39" s="105">
        <f t="shared" si="4"/>
        <v>762.85714625999981</v>
      </c>
    </row>
    <row r="40" spans="1:28" s="147" customFormat="1" ht="26" x14ac:dyDescent="0.25">
      <c r="A40" s="77">
        <v>28</v>
      </c>
      <c r="B40" s="142" t="s">
        <v>218</v>
      </c>
      <c r="C40" s="142" t="s">
        <v>219</v>
      </c>
      <c r="D40" s="146" t="s">
        <v>37</v>
      </c>
      <c r="E40" s="77">
        <v>0.5</v>
      </c>
      <c r="F40" s="103"/>
      <c r="G40" s="77" t="s">
        <v>12</v>
      </c>
      <c r="H40" s="75" t="s">
        <v>382</v>
      </c>
      <c r="I40" s="113">
        <v>4.8600000000000003</v>
      </c>
      <c r="J40" s="104">
        <v>17697</v>
      </c>
      <c r="K40" s="76">
        <v>1.23</v>
      </c>
      <c r="L40" s="104">
        <f t="shared" si="0"/>
        <v>52894.563300000009</v>
      </c>
      <c r="M40" s="104"/>
      <c r="N40" s="104">
        <f t="shared" si="1"/>
        <v>52894.563300000009</v>
      </c>
      <c r="O40" s="104">
        <f t="shared" si="2"/>
        <v>5289.4563300000009</v>
      </c>
      <c r="P40" s="104"/>
      <c r="Q40" s="153"/>
      <c r="R40" s="153"/>
      <c r="S40" s="105"/>
      <c r="T40" s="153"/>
      <c r="U40" s="105"/>
      <c r="V40" s="105"/>
      <c r="W40" s="105"/>
      <c r="X40" s="105"/>
      <c r="Y40" s="105"/>
      <c r="Z40" s="105"/>
      <c r="AA40" s="105">
        <f t="shared" si="3"/>
        <v>58184.01963000001</v>
      </c>
      <c r="AB40" s="105">
        <f t="shared" si="4"/>
        <v>698.20823556000016</v>
      </c>
    </row>
    <row r="41" spans="1:28" s="147" customFormat="1" ht="26" x14ac:dyDescent="0.25">
      <c r="A41" s="77">
        <v>29</v>
      </c>
      <c r="B41" s="142" t="s">
        <v>220</v>
      </c>
      <c r="C41" s="142" t="s">
        <v>221</v>
      </c>
      <c r="D41" s="146" t="s">
        <v>37</v>
      </c>
      <c r="E41" s="77">
        <v>1</v>
      </c>
      <c r="F41" s="103" t="s">
        <v>70</v>
      </c>
      <c r="G41" s="77" t="s">
        <v>11</v>
      </c>
      <c r="H41" s="75" t="s">
        <v>382</v>
      </c>
      <c r="I41" s="113">
        <v>4.46</v>
      </c>
      <c r="J41" s="104">
        <v>17697</v>
      </c>
      <c r="K41" s="76">
        <v>1.23</v>
      </c>
      <c r="L41" s="104">
        <f t="shared" si="0"/>
        <v>97082.20259999999</v>
      </c>
      <c r="M41" s="104"/>
      <c r="N41" s="104">
        <f t="shared" si="1"/>
        <v>97082.20259999999</v>
      </c>
      <c r="O41" s="104">
        <f t="shared" si="2"/>
        <v>9708.2202600000001</v>
      </c>
      <c r="P41" s="104"/>
      <c r="Q41" s="153">
        <f>17697*30%</f>
        <v>5309.0999999999995</v>
      </c>
      <c r="R41" s="153"/>
      <c r="S41" s="105"/>
      <c r="T41" s="153"/>
      <c r="U41" s="105"/>
      <c r="V41" s="105"/>
      <c r="W41" s="105"/>
      <c r="X41" s="105"/>
      <c r="Y41" s="105"/>
      <c r="Z41" s="105"/>
      <c r="AA41" s="105">
        <f t="shared" si="3"/>
        <v>112099.52286</v>
      </c>
      <c r="AB41" s="105">
        <f t="shared" si="4"/>
        <v>1345.1942743199997</v>
      </c>
    </row>
    <row r="42" spans="1:28" s="147" customFormat="1" ht="26" x14ac:dyDescent="0.25">
      <c r="A42" s="77">
        <v>30</v>
      </c>
      <c r="B42" s="143" t="s">
        <v>222</v>
      </c>
      <c r="C42" s="142" t="s">
        <v>223</v>
      </c>
      <c r="D42" s="146" t="s">
        <v>37</v>
      </c>
      <c r="E42" s="77">
        <v>1</v>
      </c>
      <c r="F42" s="103"/>
      <c r="G42" s="77" t="s">
        <v>11</v>
      </c>
      <c r="H42" s="75" t="s">
        <v>383</v>
      </c>
      <c r="I42" s="113">
        <v>4.2300000000000004</v>
      </c>
      <c r="J42" s="104">
        <v>17697</v>
      </c>
      <c r="K42" s="76">
        <v>1.23</v>
      </c>
      <c r="L42" s="104">
        <f t="shared" si="0"/>
        <v>92075.721300000019</v>
      </c>
      <c r="M42" s="104"/>
      <c r="N42" s="104">
        <f t="shared" si="1"/>
        <v>92075.721300000019</v>
      </c>
      <c r="O42" s="104">
        <f t="shared" si="2"/>
        <v>9207.5721300000023</v>
      </c>
      <c r="P42" s="104"/>
      <c r="Q42" s="153"/>
      <c r="R42" s="153"/>
      <c r="S42" s="105"/>
      <c r="T42" s="153"/>
      <c r="U42" s="105"/>
      <c r="V42" s="105"/>
      <c r="W42" s="105"/>
      <c r="X42" s="105"/>
      <c r="Y42" s="105"/>
      <c r="Z42" s="105"/>
      <c r="AA42" s="105">
        <f t="shared" si="3"/>
        <v>101283.29343000002</v>
      </c>
      <c r="AB42" s="105">
        <f t="shared" si="4"/>
        <v>1215.3995211600002</v>
      </c>
    </row>
    <row r="43" spans="1:28" s="147" customFormat="1" ht="26" x14ac:dyDescent="0.25">
      <c r="A43" s="77">
        <v>31</v>
      </c>
      <c r="B43" s="142" t="s">
        <v>224</v>
      </c>
      <c r="C43" s="142" t="s">
        <v>225</v>
      </c>
      <c r="D43" s="146" t="s">
        <v>37</v>
      </c>
      <c r="E43" s="77">
        <v>1</v>
      </c>
      <c r="F43" s="103"/>
      <c r="G43" s="77" t="s">
        <v>11</v>
      </c>
      <c r="H43" s="156" t="s">
        <v>362</v>
      </c>
      <c r="I43" s="113">
        <v>4.46</v>
      </c>
      <c r="J43" s="104">
        <v>17697</v>
      </c>
      <c r="K43" s="76">
        <v>1.23</v>
      </c>
      <c r="L43" s="104">
        <f t="shared" si="0"/>
        <v>97082.20259999999</v>
      </c>
      <c r="M43" s="104"/>
      <c r="N43" s="104">
        <f t="shared" si="1"/>
        <v>97082.20259999999</v>
      </c>
      <c r="O43" s="104">
        <f t="shared" si="2"/>
        <v>9708.2202600000001</v>
      </c>
      <c r="P43" s="104"/>
      <c r="Q43" s="153"/>
      <c r="R43" s="153"/>
      <c r="S43" s="105"/>
      <c r="T43" s="153"/>
      <c r="U43" s="105"/>
      <c r="V43" s="105"/>
      <c r="W43" s="105"/>
      <c r="X43" s="105"/>
      <c r="Y43" s="105"/>
      <c r="Z43" s="105"/>
      <c r="AA43" s="105">
        <f t="shared" si="3"/>
        <v>106790.42285999999</v>
      </c>
      <c r="AB43" s="105">
        <f t="shared" si="4"/>
        <v>1281.48507432</v>
      </c>
    </row>
    <row r="44" spans="1:28" s="147" customFormat="1" ht="26" x14ac:dyDescent="0.25">
      <c r="A44" s="77">
        <v>32</v>
      </c>
      <c r="B44" s="142" t="s">
        <v>226</v>
      </c>
      <c r="C44" s="142" t="s">
        <v>227</v>
      </c>
      <c r="D44" s="146" t="s">
        <v>37</v>
      </c>
      <c r="E44" s="77">
        <v>1</v>
      </c>
      <c r="F44" s="103"/>
      <c r="G44" s="77" t="s">
        <v>321</v>
      </c>
      <c r="H44" s="75" t="s">
        <v>384</v>
      </c>
      <c r="I44" s="113">
        <v>4.46</v>
      </c>
      <c r="J44" s="104">
        <v>17697</v>
      </c>
      <c r="K44" s="76">
        <v>1.23</v>
      </c>
      <c r="L44" s="104">
        <f t="shared" si="0"/>
        <v>97082.20259999999</v>
      </c>
      <c r="M44" s="104"/>
      <c r="N44" s="104">
        <f t="shared" si="1"/>
        <v>97082.20259999999</v>
      </c>
      <c r="O44" s="104">
        <f t="shared" si="2"/>
        <v>9708.2202600000001</v>
      </c>
      <c r="P44" s="104"/>
      <c r="Q44" s="153"/>
      <c r="R44" s="153"/>
      <c r="S44" s="105"/>
      <c r="T44" s="153"/>
      <c r="U44" s="105"/>
      <c r="V44" s="105"/>
      <c r="W44" s="105"/>
      <c r="X44" s="105"/>
      <c r="Y44" s="105"/>
      <c r="Z44" s="105"/>
      <c r="AA44" s="105">
        <f t="shared" si="3"/>
        <v>106790.42285999999</v>
      </c>
      <c r="AB44" s="105">
        <f t="shared" si="4"/>
        <v>1281.48507432</v>
      </c>
    </row>
    <row r="45" spans="1:28" s="147" customFormat="1" ht="26" x14ac:dyDescent="0.25">
      <c r="A45" s="77">
        <v>33</v>
      </c>
      <c r="B45" s="142" t="s">
        <v>228</v>
      </c>
      <c r="C45" s="142" t="s">
        <v>227</v>
      </c>
      <c r="D45" s="146" t="s">
        <v>37</v>
      </c>
      <c r="E45" s="77">
        <v>0.5</v>
      </c>
      <c r="F45" s="103"/>
      <c r="G45" s="141" t="s">
        <v>14</v>
      </c>
      <c r="H45" s="75" t="s">
        <v>379</v>
      </c>
      <c r="I45" s="114">
        <v>3.16</v>
      </c>
      <c r="J45" s="104">
        <v>17697</v>
      </c>
      <c r="K45" s="76">
        <v>1.23</v>
      </c>
      <c r="L45" s="104">
        <f t="shared" si="0"/>
        <v>34392.349800000004</v>
      </c>
      <c r="M45" s="104"/>
      <c r="N45" s="104">
        <f t="shared" si="1"/>
        <v>34392.349800000004</v>
      </c>
      <c r="O45" s="104">
        <f t="shared" si="2"/>
        <v>3439.2349800000006</v>
      </c>
      <c r="P45" s="104"/>
      <c r="Q45" s="153"/>
      <c r="R45" s="153"/>
      <c r="S45" s="105"/>
      <c r="T45" s="153"/>
      <c r="U45" s="105"/>
      <c r="V45" s="105"/>
      <c r="W45" s="105"/>
      <c r="X45" s="105"/>
      <c r="Y45" s="105"/>
      <c r="Z45" s="105"/>
      <c r="AA45" s="105">
        <f t="shared" si="3"/>
        <v>37831.584780000005</v>
      </c>
      <c r="AB45" s="105">
        <f t="shared" si="4"/>
        <v>453.97901736000006</v>
      </c>
    </row>
    <row r="46" spans="1:28" s="147" customFormat="1" ht="26" x14ac:dyDescent="0.25">
      <c r="A46" s="77">
        <v>34</v>
      </c>
      <c r="B46" s="142" t="s">
        <v>228</v>
      </c>
      <c r="C46" s="142" t="s">
        <v>229</v>
      </c>
      <c r="D46" s="146" t="s">
        <v>37</v>
      </c>
      <c r="E46" s="77">
        <v>0.5</v>
      </c>
      <c r="F46" s="103"/>
      <c r="G46" s="77" t="s">
        <v>14</v>
      </c>
      <c r="H46" s="75" t="s">
        <v>385</v>
      </c>
      <c r="I46" s="113">
        <v>3.12</v>
      </c>
      <c r="J46" s="104">
        <v>17697</v>
      </c>
      <c r="K46" s="76">
        <v>1.23</v>
      </c>
      <c r="L46" s="104">
        <f t="shared" si="0"/>
        <v>33957.003599999996</v>
      </c>
      <c r="M46" s="104"/>
      <c r="N46" s="104">
        <f t="shared" si="1"/>
        <v>33957.003599999996</v>
      </c>
      <c r="O46" s="104">
        <f t="shared" si="2"/>
        <v>3395.7003599999998</v>
      </c>
      <c r="P46" s="104"/>
      <c r="Q46" s="153"/>
      <c r="R46" s="153"/>
      <c r="S46" s="105"/>
      <c r="T46" s="153"/>
      <c r="U46" s="105"/>
      <c r="V46" s="105"/>
      <c r="W46" s="105"/>
      <c r="X46" s="105"/>
      <c r="Y46" s="105"/>
      <c r="Z46" s="105"/>
      <c r="AA46" s="105">
        <f t="shared" si="3"/>
        <v>37352.703959999999</v>
      </c>
      <c r="AB46" s="105">
        <f t="shared" si="4"/>
        <v>448.23244751999999</v>
      </c>
    </row>
    <row r="47" spans="1:28" s="147" customFormat="1" ht="26" x14ac:dyDescent="0.25">
      <c r="A47" s="77">
        <v>35</v>
      </c>
      <c r="B47" s="142" t="s">
        <v>230</v>
      </c>
      <c r="C47" s="142" t="s">
        <v>231</v>
      </c>
      <c r="D47" s="146" t="s">
        <v>37</v>
      </c>
      <c r="E47" s="77">
        <v>1</v>
      </c>
      <c r="F47" s="103"/>
      <c r="G47" s="77" t="s">
        <v>14</v>
      </c>
      <c r="H47" s="75" t="s">
        <v>379</v>
      </c>
      <c r="I47" s="113">
        <v>3.16</v>
      </c>
      <c r="J47" s="104">
        <v>17697</v>
      </c>
      <c r="K47" s="76">
        <v>1.23</v>
      </c>
      <c r="L47" s="104">
        <f t="shared" si="0"/>
        <v>68784.699600000007</v>
      </c>
      <c r="M47" s="104"/>
      <c r="N47" s="104">
        <f t="shared" si="1"/>
        <v>68784.699600000007</v>
      </c>
      <c r="O47" s="104">
        <f t="shared" si="2"/>
        <v>6878.4699600000013</v>
      </c>
      <c r="P47" s="104"/>
      <c r="Q47" s="153"/>
      <c r="R47" s="153"/>
      <c r="S47" s="105"/>
      <c r="T47" s="153"/>
      <c r="U47" s="105"/>
      <c r="V47" s="105"/>
      <c r="W47" s="105"/>
      <c r="X47" s="105"/>
      <c r="Y47" s="105"/>
      <c r="Z47" s="105"/>
      <c r="AA47" s="105">
        <f t="shared" si="3"/>
        <v>75663.169560000009</v>
      </c>
      <c r="AB47" s="105">
        <f t="shared" si="4"/>
        <v>907.95803472000011</v>
      </c>
    </row>
    <row r="48" spans="1:28" s="147" customFormat="1" ht="26" x14ac:dyDescent="0.25">
      <c r="A48" s="77">
        <v>36</v>
      </c>
      <c r="B48" s="142" t="s">
        <v>232</v>
      </c>
      <c r="C48" s="142" t="s">
        <v>233</v>
      </c>
      <c r="D48" s="146" t="s">
        <v>37</v>
      </c>
      <c r="E48" s="77">
        <v>1</v>
      </c>
      <c r="F48" s="146" t="s">
        <v>37</v>
      </c>
      <c r="G48" s="77" t="s">
        <v>326</v>
      </c>
      <c r="H48" s="75" t="s">
        <v>386</v>
      </c>
      <c r="I48" s="113">
        <v>4.75</v>
      </c>
      <c r="J48" s="104">
        <v>17697</v>
      </c>
      <c r="K48" s="76">
        <v>1.75</v>
      </c>
      <c r="L48" s="104">
        <f t="shared" si="0"/>
        <v>147106.3125</v>
      </c>
      <c r="M48" s="104"/>
      <c r="N48" s="104">
        <f t="shared" si="1"/>
        <v>147106.3125</v>
      </c>
      <c r="O48" s="104">
        <f t="shared" si="2"/>
        <v>14710.63125</v>
      </c>
      <c r="P48" s="104"/>
      <c r="Q48" s="153"/>
      <c r="R48" s="153"/>
      <c r="S48" s="105"/>
      <c r="T48" s="153"/>
      <c r="U48" s="105"/>
      <c r="V48" s="105"/>
      <c r="W48" s="105"/>
      <c r="X48" s="105">
        <f>N48*40%</f>
        <v>58842.525000000001</v>
      </c>
      <c r="Y48" s="105"/>
      <c r="Z48" s="105"/>
      <c r="AA48" s="105">
        <f t="shared" si="3"/>
        <v>220659.46875</v>
      </c>
      <c r="AB48" s="105">
        <f t="shared" si="4"/>
        <v>2647.9136250000001</v>
      </c>
    </row>
    <row r="49" spans="1:28" s="147" customFormat="1" ht="26" x14ac:dyDescent="0.25">
      <c r="A49" s="77">
        <v>37</v>
      </c>
      <c r="B49" s="142" t="s">
        <v>232</v>
      </c>
      <c r="C49" s="142" t="s">
        <v>234</v>
      </c>
      <c r="D49" s="146" t="s">
        <v>37</v>
      </c>
      <c r="E49" s="77">
        <v>1</v>
      </c>
      <c r="F49" s="146" t="s">
        <v>37</v>
      </c>
      <c r="G49" s="77" t="s">
        <v>326</v>
      </c>
      <c r="H49" s="75" t="s">
        <v>387</v>
      </c>
      <c r="I49" s="113">
        <v>4.75</v>
      </c>
      <c r="J49" s="104">
        <v>17697</v>
      </c>
      <c r="K49" s="76">
        <v>1.75</v>
      </c>
      <c r="L49" s="104">
        <f t="shared" si="0"/>
        <v>147106.3125</v>
      </c>
      <c r="M49" s="104"/>
      <c r="N49" s="104">
        <f t="shared" si="1"/>
        <v>147106.3125</v>
      </c>
      <c r="O49" s="104">
        <f t="shared" si="2"/>
        <v>14710.63125</v>
      </c>
      <c r="P49" s="104"/>
      <c r="Q49" s="153"/>
      <c r="R49" s="153"/>
      <c r="S49" s="105"/>
      <c r="T49" s="153"/>
      <c r="U49" s="105"/>
      <c r="V49" s="105"/>
      <c r="W49" s="105"/>
      <c r="X49" s="105"/>
      <c r="Y49" s="105"/>
      <c r="Z49" s="105"/>
      <c r="AA49" s="105">
        <f t="shared" si="3"/>
        <v>161816.94375000001</v>
      </c>
      <c r="AB49" s="105">
        <f t="shared" si="4"/>
        <v>1941.8033250000001</v>
      </c>
    </row>
    <row r="50" spans="1:28" s="147" customFormat="1" ht="26" x14ac:dyDescent="0.25">
      <c r="A50" s="77">
        <v>38</v>
      </c>
      <c r="B50" s="142" t="s">
        <v>232</v>
      </c>
      <c r="C50" s="142" t="s">
        <v>235</v>
      </c>
      <c r="D50" s="146" t="s">
        <v>37</v>
      </c>
      <c r="E50" s="77">
        <v>1</v>
      </c>
      <c r="F50" s="146" t="s">
        <v>37</v>
      </c>
      <c r="G50" s="103" t="s">
        <v>326</v>
      </c>
      <c r="H50" s="156" t="s">
        <v>388</v>
      </c>
      <c r="I50" s="157">
        <v>4.62</v>
      </c>
      <c r="J50" s="104">
        <v>17697</v>
      </c>
      <c r="K50" s="76">
        <v>1.75</v>
      </c>
      <c r="L50" s="104">
        <f t="shared" si="0"/>
        <v>143080.245</v>
      </c>
      <c r="M50" s="104"/>
      <c r="N50" s="104">
        <f t="shared" si="1"/>
        <v>143080.245</v>
      </c>
      <c r="O50" s="104">
        <f t="shared" si="2"/>
        <v>14308.0245</v>
      </c>
      <c r="P50" s="104"/>
      <c r="Q50" s="153"/>
      <c r="R50" s="153"/>
      <c r="S50" s="105"/>
      <c r="T50" s="153"/>
      <c r="U50" s="105"/>
      <c r="V50" s="105"/>
      <c r="W50" s="105"/>
      <c r="X50" s="105"/>
      <c r="Y50" s="105"/>
      <c r="Z50" s="105"/>
      <c r="AA50" s="105">
        <f t="shared" si="3"/>
        <v>157388.26949999999</v>
      </c>
      <c r="AB50" s="105">
        <f t="shared" si="4"/>
        <v>1888.659234</v>
      </c>
    </row>
    <row r="51" spans="1:28" s="147" customFormat="1" ht="39" x14ac:dyDescent="0.25">
      <c r="A51" s="77">
        <v>39</v>
      </c>
      <c r="B51" s="142" t="s">
        <v>232</v>
      </c>
      <c r="C51" s="142" t="s">
        <v>236</v>
      </c>
      <c r="D51" s="146" t="s">
        <v>37</v>
      </c>
      <c r="E51" s="77">
        <v>1</v>
      </c>
      <c r="F51" s="146" t="s">
        <v>37</v>
      </c>
      <c r="G51" s="77" t="s">
        <v>326</v>
      </c>
      <c r="H51" s="75" t="s">
        <v>389</v>
      </c>
      <c r="I51" s="113">
        <v>4.62</v>
      </c>
      <c r="J51" s="104">
        <v>17697</v>
      </c>
      <c r="K51" s="76">
        <v>1.75</v>
      </c>
      <c r="L51" s="104">
        <f t="shared" si="0"/>
        <v>143080.245</v>
      </c>
      <c r="M51" s="104"/>
      <c r="N51" s="104">
        <f t="shared" si="1"/>
        <v>143080.245</v>
      </c>
      <c r="O51" s="104">
        <f t="shared" si="2"/>
        <v>14308.0245</v>
      </c>
      <c r="P51" s="104"/>
      <c r="Q51" s="153"/>
      <c r="R51" s="153"/>
      <c r="S51" s="105"/>
      <c r="T51" s="153"/>
      <c r="U51" s="105"/>
      <c r="V51" s="105"/>
      <c r="W51" s="105"/>
      <c r="X51" s="105"/>
      <c r="Y51" s="105"/>
      <c r="Z51" s="105"/>
      <c r="AA51" s="105">
        <f t="shared" si="3"/>
        <v>157388.26949999999</v>
      </c>
      <c r="AB51" s="105">
        <f t="shared" si="4"/>
        <v>1888.659234</v>
      </c>
    </row>
    <row r="52" spans="1:28" s="147" customFormat="1" ht="26" x14ac:dyDescent="0.25">
      <c r="A52" s="77">
        <v>40</v>
      </c>
      <c r="B52" s="142" t="s">
        <v>232</v>
      </c>
      <c r="C52" s="142" t="s">
        <v>237</v>
      </c>
      <c r="D52" s="146" t="s">
        <v>37</v>
      </c>
      <c r="E52" s="77">
        <v>1</v>
      </c>
      <c r="F52" s="146" t="s">
        <v>37</v>
      </c>
      <c r="G52" s="77" t="s">
        <v>326</v>
      </c>
      <c r="H52" s="75" t="s">
        <v>390</v>
      </c>
      <c r="I52" s="113">
        <v>4.55</v>
      </c>
      <c r="J52" s="104">
        <v>17697</v>
      </c>
      <c r="K52" s="76">
        <v>1.75</v>
      </c>
      <c r="L52" s="104">
        <f t="shared" si="0"/>
        <v>140912.36249999999</v>
      </c>
      <c r="M52" s="104"/>
      <c r="N52" s="104">
        <f t="shared" si="1"/>
        <v>140912.36249999999</v>
      </c>
      <c r="O52" s="104">
        <f t="shared" si="2"/>
        <v>14091.23625</v>
      </c>
      <c r="P52" s="104"/>
      <c r="Q52" s="153"/>
      <c r="R52" s="153"/>
      <c r="S52" s="105"/>
      <c r="T52" s="153"/>
      <c r="U52" s="105"/>
      <c r="V52" s="105"/>
      <c r="W52" s="105"/>
      <c r="X52" s="105">
        <f>N52*40%</f>
        <v>56364.945</v>
      </c>
      <c r="Y52" s="105"/>
      <c r="Z52" s="105"/>
      <c r="AA52" s="105">
        <f t="shared" si="3"/>
        <v>211368.54374999998</v>
      </c>
      <c r="AB52" s="105">
        <f t="shared" si="4"/>
        <v>2536.422525</v>
      </c>
    </row>
    <row r="53" spans="1:28" s="147" customFormat="1" ht="26" x14ac:dyDescent="0.25">
      <c r="A53" s="77">
        <v>41</v>
      </c>
      <c r="B53" s="142" t="s">
        <v>232</v>
      </c>
      <c r="C53" s="142" t="s">
        <v>238</v>
      </c>
      <c r="D53" s="146" t="s">
        <v>37</v>
      </c>
      <c r="E53" s="77">
        <v>1</v>
      </c>
      <c r="F53" s="146" t="s">
        <v>37</v>
      </c>
      <c r="G53" s="77" t="s">
        <v>326</v>
      </c>
      <c r="H53" s="76" t="s">
        <v>391</v>
      </c>
      <c r="I53" s="113">
        <v>4.6900000000000004</v>
      </c>
      <c r="J53" s="104">
        <v>17697</v>
      </c>
      <c r="K53" s="76">
        <v>1.75</v>
      </c>
      <c r="L53" s="104">
        <f t="shared" si="0"/>
        <v>145248.1275</v>
      </c>
      <c r="M53" s="104"/>
      <c r="N53" s="104">
        <f t="shared" si="1"/>
        <v>145248.1275</v>
      </c>
      <c r="O53" s="104">
        <f t="shared" si="2"/>
        <v>14524.812750000001</v>
      </c>
      <c r="P53" s="104"/>
      <c r="Q53" s="153"/>
      <c r="R53" s="153"/>
      <c r="S53" s="105"/>
      <c r="T53" s="153"/>
      <c r="U53" s="105"/>
      <c r="V53" s="105"/>
      <c r="W53" s="105"/>
      <c r="X53" s="105">
        <f>N53*40%</f>
        <v>58099.251000000004</v>
      </c>
      <c r="Y53" s="105"/>
      <c r="Z53" s="105"/>
      <c r="AA53" s="105">
        <f t="shared" si="3"/>
        <v>217872.19125000003</v>
      </c>
      <c r="AB53" s="105">
        <f t="shared" si="4"/>
        <v>2614.4662950000002</v>
      </c>
    </row>
    <row r="54" spans="1:28" s="147" customFormat="1" ht="26" x14ac:dyDescent="0.25">
      <c r="A54" s="77">
        <v>42</v>
      </c>
      <c r="B54" s="142" t="s">
        <v>232</v>
      </c>
      <c r="C54" s="142" t="s">
        <v>239</v>
      </c>
      <c r="D54" s="146" t="s">
        <v>37</v>
      </c>
      <c r="E54" s="77">
        <v>1</v>
      </c>
      <c r="F54" s="146" t="s">
        <v>37</v>
      </c>
      <c r="G54" s="77" t="s">
        <v>326</v>
      </c>
      <c r="H54" s="75" t="s">
        <v>392</v>
      </c>
      <c r="I54" s="113">
        <v>4.62</v>
      </c>
      <c r="J54" s="104">
        <v>17697</v>
      </c>
      <c r="K54" s="76">
        <v>1.75</v>
      </c>
      <c r="L54" s="104">
        <f t="shared" si="0"/>
        <v>143080.245</v>
      </c>
      <c r="M54" s="104"/>
      <c r="N54" s="104">
        <f t="shared" si="1"/>
        <v>143080.245</v>
      </c>
      <c r="O54" s="104">
        <f t="shared" si="2"/>
        <v>14308.0245</v>
      </c>
      <c r="P54" s="104"/>
      <c r="Q54" s="153"/>
      <c r="R54" s="153"/>
      <c r="S54" s="105"/>
      <c r="T54" s="153"/>
      <c r="U54" s="105"/>
      <c r="V54" s="105"/>
      <c r="W54" s="105"/>
      <c r="X54" s="105">
        <f>N54*40%</f>
        <v>57232.097999999998</v>
      </c>
      <c r="Y54" s="105"/>
      <c r="Z54" s="105"/>
      <c r="AA54" s="105">
        <f t="shared" si="3"/>
        <v>214620.36749999999</v>
      </c>
      <c r="AB54" s="105">
        <f t="shared" si="4"/>
        <v>2575.4444100000001</v>
      </c>
    </row>
    <row r="55" spans="1:28" s="147" customFormat="1" ht="26" x14ac:dyDescent="0.25">
      <c r="A55" s="77">
        <v>43</v>
      </c>
      <c r="B55" s="142" t="s">
        <v>232</v>
      </c>
      <c r="C55" s="142" t="s">
        <v>240</v>
      </c>
      <c r="D55" s="146" t="s">
        <v>37</v>
      </c>
      <c r="E55" s="77">
        <v>1</v>
      </c>
      <c r="F55" s="146" t="s">
        <v>37</v>
      </c>
      <c r="G55" s="77" t="s">
        <v>326</v>
      </c>
      <c r="H55" s="75" t="s">
        <v>393</v>
      </c>
      <c r="I55" s="113">
        <v>4.62</v>
      </c>
      <c r="J55" s="104">
        <v>17697</v>
      </c>
      <c r="K55" s="76">
        <v>1.75</v>
      </c>
      <c r="L55" s="104">
        <f t="shared" si="0"/>
        <v>143080.245</v>
      </c>
      <c r="M55" s="104"/>
      <c r="N55" s="104">
        <f t="shared" si="1"/>
        <v>143080.245</v>
      </c>
      <c r="O55" s="104">
        <f t="shared" si="2"/>
        <v>14308.0245</v>
      </c>
      <c r="P55" s="104"/>
      <c r="Q55" s="153"/>
      <c r="R55" s="153"/>
      <c r="S55" s="105"/>
      <c r="T55" s="153"/>
      <c r="U55" s="105"/>
      <c r="V55" s="105"/>
      <c r="W55" s="105"/>
      <c r="X55" s="105">
        <f>N55*40%</f>
        <v>57232.097999999998</v>
      </c>
      <c r="Y55" s="105"/>
      <c r="Z55" s="105"/>
      <c r="AA55" s="105">
        <f t="shared" si="3"/>
        <v>214620.36749999999</v>
      </c>
      <c r="AB55" s="105">
        <f t="shared" si="4"/>
        <v>2575.4444100000001</v>
      </c>
    </row>
    <row r="56" spans="1:28" s="147" customFormat="1" ht="26" x14ac:dyDescent="0.25">
      <c r="A56" s="77">
        <v>44</v>
      </c>
      <c r="B56" s="142" t="s">
        <v>232</v>
      </c>
      <c r="C56" s="142" t="s">
        <v>241</v>
      </c>
      <c r="D56" s="146" t="s">
        <v>37</v>
      </c>
      <c r="E56" s="77">
        <v>1</v>
      </c>
      <c r="F56" s="146" t="s">
        <v>69</v>
      </c>
      <c r="G56" s="77" t="s">
        <v>327</v>
      </c>
      <c r="H56" s="75" t="s">
        <v>394</v>
      </c>
      <c r="I56" s="113">
        <v>4.37</v>
      </c>
      <c r="J56" s="104">
        <v>17697</v>
      </c>
      <c r="K56" s="76">
        <v>1.75</v>
      </c>
      <c r="L56" s="104">
        <f t="shared" si="0"/>
        <v>135337.8075</v>
      </c>
      <c r="M56" s="104"/>
      <c r="N56" s="104">
        <f t="shared" si="1"/>
        <v>135337.8075</v>
      </c>
      <c r="O56" s="104">
        <f t="shared" si="2"/>
        <v>13533.78075</v>
      </c>
      <c r="P56" s="104"/>
      <c r="Q56" s="153"/>
      <c r="R56" s="153"/>
      <c r="S56" s="105"/>
      <c r="T56" s="153"/>
      <c r="U56" s="105"/>
      <c r="V56" s="105"/>
      <c r="W56" s="105"/>
      <c r="X56" s="105"/>
      <c r="Y56" s="105"/>
      <c r="Z56" s="105"/>
      <c r="AA56" s="105">
        <f t="shared" si="3"/>
        <v>148871.58825</v>
      </c>
      <c r="AB56" s="105">
        <f t="shared" si="4"/>
        <v>1786.4590589999998</v>
      </c>
    </row>
    <row r="57" spans="1:28" s="147" customFormat="1" ht="39" x14ac:dyDescent="0.25">
      <c r="A57" s="77">
        <v>45</v>
      </c>
      <c r="B57" s="142" t="s">
        <v>232</v>
      </c>
      <c r="C57" s="142" t="s">
        <v>242</v>
      </c>
      <c r="D57" s="146" t="s">
        <v>37</v>
      </c>
      <c r="E57" s="77">
        <v>1</v>
      </c>
      <c r="F57" s="146" t="s">
        <v>37</v>
      </c>
      <c r="G57" s="77" t="s">
        <v>326</v>
      </c>
      <c r="H57" s="75" t="s">
        <v>395</v>
      </c>
      <c r="I57" s="113">
        <v>4.62</v>
      </c>
      <c r="J57" s="104">
        <v>17697</v>
      </c>
      <c r="K57" s="76">
        <v>1.75</v>
      </c>
      <c r="L57" s="104">
        <f t="shared" si="0"/>
        <v>143080.245</v>
      </c>
      <c r="M57" s="104"/>
      <c r="N57" s="104">
        <f t="shared" si="1"/>
        <v>143080.245</v>
      </c>
      <c r="O57" s="104">
        <f t="shared" si="2"/>
        <v>14308.0245</v>
      </c>
      <c r="P57" s="104"/>
      <c r="Q57" s="153"/>
      <c r="R57" s="153"/>
      <c r="S57" s="105"/>
      <c r="T57" s="153"/>
      <c r="U57" s="105"/>
      <c r="V57" s="105"/>
      <c r="W57" s="105"/>
      <c r="X57" s="105">
        <f>N57*40%</f>
        <v>57232.097999999998</v>
      </c>
      <c r="Y57" s="105"/>
      <c r="Z57" s="105"/>
      <c r="AA57" s="105">
        <f t="shared" si="3"/>
        <v>214620.36749999999</v>
      </c>
      <c r="AB57" s="105">
        <f t="shared" si="4"/>
        <v>2575.4444100000001</v>
      </c>
    </row>
    <row r="58" spans="1:28" s="147" customFormat="1" ht="26" x14ac:dyDescent="0.25">
      <c r="A58" s="77">
        <v>46</v>
      </c>
      <c r="B58" s="142" t="s">
        <v>232</v>
      </c>
      <c r="C58" s="142" t="s">
        <v>243</v>
      </c>
      <c r="D58" s="146" t="s">
        <v>37</v>
      </c>
      <c r="E58" s="77">
        <v>1</v>
      </c>
      <c r="F58" s="146" t="s">
        <v>37</v>
      </c>
      <c r="G58" s="77" t="s">
        <v>326</v>
      </c>
      <c r="H58" s="75" t="s">
        <v>395</v>
      </c>
      <c r="I58" s="113">
        <v>4.62</v>
      </c>
      <c r="J58" s="104">
        <v>17697</v>
      </c>
      <c r="K58" s="76">
        <v>1.75</v>
      </c>
      <c r="L58" s="104">
        <f t="shared" si="0"/>
        <v>143080.245</v>
      </c>
      <c r="M58" s="104"/>
      <c r="N58" s="104">
        <f t="shared" si="1"/>
        <v>143080.245</v>
      </c>
      <c r="O58" s="104">
        <f t="shared" si="2"/>
        <v>14308.0245</v>
      </c>
      <c r="P58" s="104"/>
      <c r="Q58" s="153"/>
      <c r="R58" s="153"/>
      <c r="S58" s="105"/>
      <c r="T58" s="153"/>
      <c r="U58" s="105"/>
      <c r="V58" s="105"/>
      <c r="W58" s="105"/>
      <c r="X58" s="105">
        <f>N58*40%</f>
        <v>57232.097999999998</v>
      </c>
      <c r="Y58" s="105"/>
      <c r="Z58" s="105"/>
      <c r="AA58" s="105">
        <f t="shared" si="3"/>
        <v>214620.36749999999</v>
      </c>
      <c r="AB58" s="105">
        <f t="shared" si="4"/>
        <v>2575.4444100000001</v>
      </c>
    </row>
    <row r="59" spans="1:28" s="147" customFormat="1" ht="26" x14ac:dyDescent="0.25">
      <c r="A59" s="77">
        <v>47</v>
      </c>
      <c r="B59" s="142" t="s">
        <v>232</v>
      </c>
      <c r="C59" s="142" t="s">
        <v>244</v>
      </c>
      <c r="D59" s="146" t="s">
        <v>37</v>
      </c>
      <c r="E59" s="77">
        <v>1</v>
      </c>
      <c r="F59" s="146" t="s">
        <v>69</v>
      </c>
      <c r="G59" s="77" t="s">
        <v>327</v>
      </c>
      <c r="H59" s="75" t="s">
        <v>396</v>
      </c>
      <c r="I59" s="113">
        <v>4.3</v>
      </c>
      <c r="J59" s="104">
        <v>17697</v>
      </c>
      <c r="K59" s="76">
        <v>1.75</v>
      </c>
      <c r="L59" s="104">
        <f t="shared" si="0"/>
        <v>133169.92499999999</v>
      </c>
      <c r="M59" s="104"/>
      <c r="N59" s="104">
        <f t="shared" si="1"/>
        <v>133169.92499999999</v>
      </c>
      <c r="O59" s="104">
        <f t="shared" si="2"/>
        <v>13316.9925</v>
      </c>
      <c r="P59" s="104"/>
      <c r="Q59" s="153"/>
      <c r="R59" s="153"/>
      <c r="S59" s="105"/>
      <c r="T59" s="153"/>
      <c r="U59" s="105"/>
      <c r="V59" s="105"/>
      <c r="W59" s="105"/>
      <c r="X59" s="105"/>
      <c r="Y59" s="105"/>
      <c r="Z59" s="105"/>
      <c r="AA59" s="105">
        <f t="shared" si="3"/>
        <v>146486.91749999998</v>
      </c>
      <c r="AB59" s="105">
        <f t="shared" si="4"/>
        <v>1757.8430099999998</v>
      </c>
    </row>
    <row r="60" spans="1:28" s="147" customFormat="1" ht="26" x14ac:dyDescent="0.25">
      <c r="A60" s="77">
        <v>48</v>
      </c>
      <c r="B60" s="142" t="s">
        <v>232</v>
      </c>
      <c r="C60" s="142" t="s">
        <v>245</v>
      </c>
      <c r="D60" s="146" t="s">
        <v>37</v>
      </c>
      <c r="E60" s="77">
        <v>1</v>
      </c>
      <c r="F60" s="146" t="s">
        <v>69</v>
      </c>
      <c r="G60" s="77" t="s">
        <v>327</v>
      </c>
      <c r="H60" s="75" t="s">
        <v>397</v>
      </c>
      <c r="I60" s="113">
        <v>4.51</v>
      </c>
      <c r="J60" s="104">
        <v>17697</v>
      </c>
      <c r="K60" s="76">
        <v>1.75</v>
      </c>
      <c r="L60" s="104">
        <f t="shared" si="0"/>
        <v>139673.57250000001</v>
      </c>
      <c r="M60" s="104"/>
      <c r="N60" s="104">
        <f t="shared" si="1"/>
        <v>139673.57250000001</v>
      </c>
      <c r="O60" s="104">
        <f t="shared" si="2"/>
        <v>13967.357250000001</v>
      </c>
      <c r="P60" s="104"/>
      <c r="Q60" s="153"/>
      <c r="R60" s="153"/>
      <c r="S60" s="105"/>
      <c r="T60" s="153"/>
      <c r="U60" s="105"/>
      <c r="V60" s="105"/>
      <c r="W60" s="105">
        <f>L60*35%</f>
        <v>48885.750375000003</v>
      </c>
      <c r="X60" s="105"/>
      <c r="Y60" s="105"/>
      <c r="Z60" s="105"/>
      <c r="AA60" s="105">
        <f t="shared" si="3"/>
        <v>202526.68012500001</v>
      </c>
      <c r="AB60" s="105">
        <f t="shared" si="4"/>
        <v>2430.3201615000003</v>
      </c>
    </row>
    <row r="61" spans="1:28" s="147" customFormat="1" ht="26" x14ac:dyDescent="0.25">
      <c r="A61" s="77">
        <v>49</v>
      </c>
      <c r="B61" s="142" t="s">
        <v>232</v>
      </c>
      <c r="C61" s="142" t="s">
        <v>246</v>
      </c>
      <c r="D61" s="146" t="s">
        <v>37</v>
      </c>
      <c r="E61" s="77">
        <v>1</v>
      </c>
      <c r="F61" s="146" t="s">
        <v>70</v>
      </c>
      <c r="G61" s="77" t="s">
        <v>328</v>
      </c>
      <c r="H61" s="75" t="s">
        <v>393</v>
      </c>
      <c r="I61" s="113">
        <v>4.3600000000000003</v>
      </c>
      <c r="J61" s="104">
        <v>17697</v>
      </c>
      <c r="K61" s="76">
        <v>1.75</v>
      </c>
      <c r="L61" s="104">
        <f t="shared" si="0"/>
        <v>135028.11000000002</v>
      </c>
      <c r="M61" s="104"/>
      <c r="N61" s="104">
        <f t="shared" si="1"/>
        <v>135028.11000000002</v>
      </c>
      <c r="O61" s="104">
        <f t="shared" si="2"/>
        <v>13502.811000000002</v>
      </c>
      <c r="P61" s="104"/>
      <c r="Q61" s="153"/>
      <c r="R61" s="153"/>
      <c r="S61" s="105"/>
      <c r="T61" s="153"/>
      <c r="U61" s="105"/>
      <c r="V61" s="105"/>
      <c r="W61" s="105"/>
      <c r="X61" s="105"/>
      <c r="Y61" s="105"/>
      <c r="Z61" s="105"/>
      <c r="AA61" s="105">
        <f t="shared" si="3"/>
        <v>148530.92100000003</v>
      </c>
      <c r="AB61" s="105">
        <f t="shared" si="4"/>
        <v>1782.3710520000004</v>
      </c>
    </row>
    <row r="62" spans="1:28" s="147" customFormat="1" ht="26" x14ac:dyDescent="0.25">
      <c r="A62" s="77">
        <v>50</v>
      </c>
      <c r="B62" s="142" t="s">
        <v>232</v>
      </c>
      <c r="C62" s="142" t="s">
        <v>247</v>
      </c>
      <c r="D62" s="146" t="s">
        <v>37</v>
      </c>
      <c r="E62" s="77">
        <v>1</v>
      </c>
      <c r="F62" s="146" t="s">
        <v>69</v>
      </c>
      <c r="G62" s="77" t="s">
        <v>327</v>
      </c>
      <c r="H62" s="75" t="s">
        <v>396</v>
      </c>
      <c r="I62" s="113">
        <v>4.3</v>
      </c>
      <c r="J62" s="104">
        <v>17697</v>
      </c>
      <c r="K62" s="76">
        <v>1.75</v>
      </c>
      <c r="L62" s="104">
        <f t="shared" si="0"/>
        <v>133169.92499999999</v>
      </c>
      <c r="M62" s="104"/>
      <c r="N62" s="104">
        <f t="shared" si="1"/>
        <v>133169.92499999999</v>
      </c>
      <c r="O62" s="104">
        <f t="shared" si="2"/>
        <v>13316.9925</v>
      </c>
      <c r="P62" s="104"/>
      <c r="Q62" s="153"/>
      <c r="R62" s="153"/>
      <c r="S62" s="105"/>
      <c r="T62" s="153"/>
      <c r="U62" s="105"/>
      <c r="V62" s="105"/>
      <c r="W62" s="105">
        <f>L62*35%</f>
        <v>46609.47374999999</v>
      </c>
      <c r="X62" s="105"/>
      <c r="Y62" s="105"/>
      <c r="Z62" s="105"/>
      <c r="AA62" s="105">
        <f t="shared" si="3"/>
        <v>193096.39124999999</v>
      </c>
      <c r="AB62" s="105">
        <f t="shared" si="4"/>
        <v>2317.1566949999997</v>
      </c>
    </row>
    <row r="63" spans="1:28" s="147" customFormat="1" ht="26" x14ac:dyDescent="0.25">
      <c r="A63" s="77">
        <v>51</v>
      </c>
      <c r="B63" s="142" t="s">
        <v>232</v>
      </c>
      <c r="C63" s="142" t="s">
        <v>248</v>
      </c>
      <c r="D63" s="146" t="s">
        <v>37</v>
      </c>
      <c r="E63" s="77">
        <v>1</v>
      </c>
      <c r="F63" s="146" t="s">
        <v>70</v>
      </c>
      <c r="G63" s="77" t="s">
        <v>328</v>
      </c>
      <c r="H63" s="75" t="s">
        <v>398</v>
      </c>
      <c r="I63" s="113">
        <v>4.28</v>
      </c>
      <c r="J63" s="104">
        <v>17697</v>
      </c>
      <c r="K63" s="76">
        <v>1.75</v>
      </c>
      <c r="L63" s="104">
        <f t="shared" si="0"/>
        <v>132550.53</v>
      </c>
      <c r="M63" s="104"/>
      <c r="N63" s="104">
        <f t="shared" si="1"/>
        <v>132550.53</v>
      </c>
      <c r="O63" s="104">
        <f t="shared" si="2"/>
        <v>13255.053</v>
      </c>
      <c r="P63" s="104"/>
      <c r="Q63" s="153"/>
      <c r="R63" s="153"/>
      <c r="S63" s="105"/>
      <c r="T63" s="153"/>
      <c r="U63" s="105"/>
      <c r="V63" s="105"/>
      <c r="W63" s="105"/>
      <c r="X63" s="105"/>
      <c r="Y63" s="105"/>
      <c r="Z63" s="105"/>
      <c r="AA63" s="105">
        <f t="shared" si="3"/>
        <v>145805.58299999998</v>
      </c>
      <c r="AB63" s="105">
        <f t="shared" si="4"/>
        <v>1749.6669959999997</v>
      </c>
    </row>
    <row r="64" spans="1:28" s="147" customFormat="1" ht="26" x14ac:dyDescent="0.25">
      <c r="A64" s="77">
        <v>52</v>
      </c>
      <c r="B64" s="142" t="s">
        <v>232</v>
      </c>
      <c r="C64" s="142" t="s">
        <v>249</v>
      </c>
      <c r="D64" s="146" t="s">
        <v>37</v>
      </c>
      <c r="E64" s="77">
        <v>1</v>
      </c>
      <c r="F64" s="146" t="s">
        <v>70</v>
      </c>
      <c r="G64" s="77" t="s">
        <v>328</v>
      </c>
      <c r="H64" s="75" t="s">
        <v>399</v>
      </c>
      <c r="I64" s="113">
        <v>4.28</v>
      </c>
      <c r="J64" s="104">
        <v>17697</v>
      </c>
      <c r="K64" s="76">
        <v>1.75</v>
      </c>
      <c r="L64" s="104">
        <f t="shared" si="0"/>
        <v>132550.53</v>
      </c>
      <c r="M64" s="104"/>
      <c r="N64" s="104">
        <f t="shared" si="1"/>
        <v>132550.53</v>
      </c>
      <c r="O64" s="104">
        <f t="shared" si="2"/>
        <v>13255.053</v>
      </c>
      <c r="P64" s="104"/>
      <c r="Q64" s="153"/>
      <c r="R64" s="153"/>
      <c r="S64" s="105"/>
      <c r="T64" s="153"/>
      <c r="U64" s="105"/>
      <c r="V64" s="105"/>
      <c r="W64" s="105"/>
      <c r="X64" s="105"/>
      <c r="Y64" s="105"/>
      <c r="Z64" s="105"/>
      <c r="AA64" s="105">
        <f t="shared" si="3"/>
        <v>145805.58299999998</v>
      </c>
      <c r="AB64" s="105">
        <f t="shared" si="4"/>
        <v>1749.6669959999997</v>
      </c>
    </row>
    <row r="65" spans="1:28" s="147" customFormat="1" ht="26" x14ac:dyDescent="0.25">
      <c r="A65" s="77">
        <v>53</v>
      </c>
      <c r="B65" s="142" t="s">
        <v>232</v>
      </c>
      <c r="C65" s="142" t="s">
        <v>250</v>
      </c>
      <c r="D65" s="146" t="s">
        <v>37</v>
      </c>
      <c r="E65" s="77">
        <v>1</v>
      </c>
      <c r="F65" s="146"/>
      <c r="G65" s="77" t="s">
        <v>329</v>
      </c>
      <c r="H65" s="75" t="s">
        <v>400</v>
      </c>
      <c r="I65" s="113">
        <v>4</v>
      </c>
      <c r="J65" s="104">
        <v>17697</v>
      </c>
      <c r="K65" s="76">
        <v>1.75</v>
      </c>
      <c r="L65" s="104">
        <f t="shared" si="0"/>
        <v>123879</v>
      </c>
      <c r="M65" s="104"/>
      <c r="N65" s="104">
        <f t="shared" si="1"/>
        <v>123879</v>
      </c>
      <c r="O65" s="104">
        <f t="shared" si="2"/>
        <v>12387.900000000001</v>
      </c>
      <c r="P65" s="104"/>
      <c r="Q65" s="153"/>
      <c r="R65" s="153"/>
      <c r="S65" s="105"/>
      <c r="T65" s="153"/>
      <c r="U65" s="105"/>
      <c r="V65" s="105"/>
      <c r="W65" s="105"/>
      <c r="X65" s="105"/>
      <c r="Y65" s="105"/>
      <c r="Z65" s="105"/>
      <c r="AA65" s="105">
        <f t="shared" si="3"/>
        <v>136266.9</v>
      </c>
      <c r="AB65" s="105">
        <f t="shared" si="4"/>
        <v>1635.2027999999998</v>
      </c>
    </row>
    <row r="66" spans="1:28" s="147" customFormat="1" ht="26" x14ac:dyDescent="0.25">
      <c r="A66" s="77">
        <v>54</v>
      </c>
      <c r="B66" s="142" t="s">
        <v>232</v>
      </c>
      <c r="C66" s="142" t="s">
        <v>251</v>
      </c>
      <c r="D66" s="146" t="s">
        <v>37</v>
      </c>
      <c r="E66" s="77">
        <v>1</v>
      </c>
      <c r="F66" s="146" t="s">
        <v>69</v>
      </c>
      <c r="G66" s="77" t="s">
        <v>327</v>
      </c>
      <c r="H66" s="75" t="s">
        <v>390</v>
      </c>
      <c r="I66" s="113">
        <v>4.3</v>
      </c>
      <c r="J66" s="104">
        <v>17697</v>
      </c>
      <c r="K66" s="76">
        <v>1.75</v>
      </c>
      <c r="L66" s="104">
        <f t="shared" si="0"/>
        <v>133169.92499999999</v>
      </c>
      <c r="M66" s="104"/>
      <c r="N66" s="104">
        <f t="shared" si="1"/>
        <v>133169.92499999999</v>
      </c>
      <c r="O66" s="104">
        <f t="shared" si="2"/>
        <v>13316.9925</v>
      </c>
      <c r="P66" s="104"/>
      <c r="Q66" s="153"/>
      <c r="R66" s="153"/>
      <c r="S66" s="105"/>
      <c r="T66" s="153"/>
      <c r="U66" s="105"/>
      <c r="V66" s="105"/>
      <c r="W66" s="105">
        <f>L66*35%</f>
        <v>46609.47374999999</v>
      </c>
      <c r="X66" s="105"/>
      <c r="Y66" s="105"/>
      <c r="Z66" s="105"/>
      <c r="AA66" s="105">
        <f t="shared" si="3"/>
        <v>193096.39124999999</v>
      </c>
      <c r="AB66" s="105">
        <f t="shared" si="4"/>
        <v>2317.1566949999997</v>
      </c>
    </row>
    <row r="67" spans="1:28" s="147" customFormat="1" ht="26" x14ac:dyDescent="0.25">
      <c r="A67" s="77">
        <v>55</v>
      </c>
      <c r="B67" s="142" t="s">
        <v>232</v>
      </c>
      <c r="C67" s="142" t="s">
        <v>252</v>
      </c>
      <c r="D67" s="146" t="s">
        <v>37</v>
      </c>
      <c r="E67" s="77">
        <v>1</v>
      </c>
      <c r="F67" s="146"/>
      <c r="G67" s="77" t="s">
        <v>329</v>
      </c>
      <c r="H67" s="76" t="s">
        <v>371</v>
      </c>
      <c r="I67" s="113">
        <v>4</v>
      </c>
      <c r="J67" s="104">
        <v>17697</v>
      </c>
      <c r="K67" s="76">
        <v>1.75</v>
      </c>
      <c r="L67" s="104">
        <f t="shared" si="0"/>
        <v>123879</v>
      </c>
      <c r="M67" s="104"/>
      <c r="N67" s="104">
        <f t="shared" si="1"/>
        <v>123879</v>
      </c>
      <c r="O67" s="104">
        <f t="shared" si="2"/>
        <v>12387.900000000001</v>
      </c>
      <c r="P67" s="104"/>
      <c r="Q67" s="153"/>
      <c r="R67" s="153"/>
      <c r="S67" s="105"/>
      <c r="T67" s="153"/>
      <c r="U67" s="105"/>
      <c r="V67" s="105"/>
      <c r="W67" s="105"/>
      <c r="X67" s="105"/>
      <c r="Y67" s="105"/>
      <c r="Z67" s="105"/>
      <c r="AA67" s="105">
        <f t="shared" si="3"/>
        <v>136266.9</v>
      </c>
      <c r="AB67" s="105">
        <f t="shared" si="4"/>
        <v>1635.2027999999998</v>
      </c>
    </row>
    <row r="68" spans="1:28" s="147" customFormat="1" ht="26" x14ac:dyDescent="0.25">
      <c r="A68" s="77">
        <v>56</v>
      </c>
      <c r="B68" s="142" t="s">
        <v>232</v>
      </c>
      <c r="C68" s="142" t="s">
        <v>253</v>
      </c>
      <c r="D68" s="146" t="s">
        <v>37</v>
      </c>
      <c r="E68" s="77">
        <v>1</v>
      </c>
      <c r="F68" s="146" t="s">
        <v>69</v>
      </c>
      <c r="G68" s="77" t="s">
        <v>327</v>
      </c>
      <c r="H68" s="75" t="s">
        <v>379</v>
      </c>
      <c r="I68" s="113">
        <v>4.2300000000000004</v>
      </c>
      <c r="J68" s="104">
        <v>17697</v>
      </c>
      <c r="K68" s="76">
        <v>1.75</v>
      </c>
      <c r="L68" s="104">
        <f t="shared" si="0"/>
        <v>131002.04250000003</v>
      </c>
      <c r="M68" s="104"/>
      <c r="N68" s="104">
        <f t="shared" si="1"/>
        <v>131002.04250000003</v>
      </c>
      <c r="O68" s="104">
        <f t="shared" si="2"/>
        <v>13100.204250000003</v>
      </c>
      <c r="P68" s="104"/>
      <c r="Q68" s="153"/>
      <c r="R68" s="153"/>
      <c r="S68" s="105"/>
      <c r="T68" s="153"/>
      <c r="U68" s="105"/>
      <c r="V68" s="105"/>
      <c r="W68" s="105">
        <f>L68*35%</f>
        <v>45850.714875000005</v>
      </c>
      <c r="X68" s="105"/>
      <c r="Y68" s="105"/>
      <c r="Z68" s="105"/>
      <c r="AA68" s="105">
        <f t="shared" si="3"/>
        <v>189952.96162500003</v>
      </c>
      <c r="AB68" s="105">
        <f t="shared" si="4"/>
        <v>2279.4355395000002</v>
      </c>
    </row>
    <row r="69" spans="1:28" s="147" customFormat="1" ht="39" x14ac:dyDescent="0.25">
      <c r="A69" s="77">
        <v>57</v>
      </c>
      <c r="B69" s="142" t="s">
        <v>232</v>
      </c>
      <c r="C69" s="142" t="s">
        <v>254</v>
      </c>
      <c r="D69" s="146" t="s">
        <v>37</v>
      </c>
      <c r="E69" s="77">
        <v>1</v>
      </c>
      <c r="F69" s="146" t="s">
        <v>70</v>
      </c>
      <c r="G69" s="77" t="s">
        <v>328</v>
      </c>
      <c r="H69" s="75" t="s">
        <v>379</v>
      </c>
      <c r="I69" s="113">
        <v>4.21</v>
      </c>
      <c r="J69" s="104">
        <v>17697</v>
      </c>
      <c r="K69" s="76">
        <v>1.75</v>
      </c>
      <c r="L69" s="104">
        <f t="shared" si="0"/>
        <v>130382.64749999999</v>
      </c>
      <c r="M69" s="104"/>
      <c r="N69" s="104">
        <f t="shared" si="1"/>
        <v>130382.64749999999</v>
      </c>
      <c r="O69" s="104">
        <f t="shared" si="2"/>
        <v>13038.26475</v>
      </c>
      <c r="P69" s="104"/>
      <c r="Q69" s="153"/>
      <c r="R69" s="153"/>
      <c r="S69" s="105"/>
      <c r="T69" s="153"/>
      <c r="U69" s="105"/>
      <c r="V69" s="105"/>
      <c r="W69" s="105"/>
      <c r="X69" s="105"/>
      <c r="Y69" s="105"/>
      <c r="Z69" s="105"/>
      <c r="AA69" s="105">
        <f t="shared" si="3"/>
        <v>143420.91224999999</v>
      </c>
      <c r="AB69" s="105">
        <f t="shared" si="4"/>
        <v>1721.050947</v>
      </c>
    </row>
    <row r="70" spans="1:28" s="147" customFormat="1" ht="39" x14ac:dyDescent="0.25">
      <c r="A70" s="77">
        <v>58</v>
      </c>
      <c r="B70" s="142" t="s">
        <v>232</v>
      </c>
      <c r="C70" s="142" t="s">
        <v>255</v>
      </c>
      <c r="D70" s="146" t="s">
        <v>37</v>
      </c>
      <c r="E70" s="77">
        <v>1</v>
      </c>
      <c r="F70" s="146" t="s">
        <v>37</v>
      </c>
      <c r="G70" s="77" t="s">
        <v>326</v>
      </c>
      <c r="H70" s="75" t="s">
        <v>401</v>
      </c>
      <c r="I70" s="113">
        <v>4.49</v>
      </c>
      <c r="J70" s="104">
        <v>17697</v>
      </c>
      <c r="K70" s="76">
        <v>1.75</v>
      </c>
      <c r="L70" s="104">
        <f t="shared" si="0"/>
        <v>139054.17749999999</v>
      </c>
      <c r="M70" s="104"/>
      <c r="N70" s="104">
        <f t="shared" si="1"/>
        <v>139054.17749999999</v>
      </c>
      <c r="O70" s="104">
        <f t="shared" si="2"/>
        <v>13905.417750000001</v>
      </c>
      <c r="P70" s="104"/>
      <c r="Q70" s="153"/>
      <c r="R70" s="153"/>
      <c r="S70" s="105"/>
      <c r="T70" s="153"/>
      <c r="U70" s="105"/>
      <c r="V70" s="105"/>
      <c r="W70" s="105"/>
      <c r="X70" s="105">
        <f>N70*40%</f>
        <v>55621.671000000002</v>
      </c>
      <c r="Y70" s="105"/>
      <c r="Z70" s="105"/>
      <c r="AA70" s="105">
        <f t="shared" si="3"/>
        <v>208581.26624999999</v>
      </c>
      <c r="AB70" s="105">
        <f t="shared" si="4"/>
        <v>2502.975195</v>
      </c>
    </row>
    <row r="71" spans="1:28" s="147" customFormat="1" ht="26" x14ac:dyDescent="0.25">
      <c r="A71" s="77">
        <v>59</v>
      </c>
      <c r="B71" s="142" t="s">
        <v>232</v>
      </c>
      <c r="C71" s="142" t="s">
        <v>256</v>
      </c>
      <c r="D71" s="146" t="s">
        <v>37</v>
      </c>
      <c r="E71" s="77">
        <v>1</v>
      </c>
      <c r="F71" s="146" t="s">
        <v>69</v>
      </c>
      <c r="G71" s="77" t="s">
        <v>327</v>
      </c>
      <c r="H71" s="75" t="s">
        <v>402</v>
      </c>
      <c r="I71" s="113">
        <v>4.2300000000000004</v>
      </c>
      <c r="J71" s="104">
        <v>17697</v>
      </c>
      <c r="K71" s="76">
        <v>1.75</v>
      </c>
      <c r="L71" s="104">
        <f t="shared" si="0"/>
        <v>131002.04250000003</v>
      </c>
      <c r="M71" s="104"/>
      <c r="N71" s="104">
        <f t="shared" si="1"/>
        <v>131002.04250000003</v>
      </c>
      <c r="O71" s="104">
        <f t="shared" si="2"/>
        <v>13100.204250000003</v>
      </c>
      <c r="P71" s="104"/>
      <c r="Q71" s="153"/>
      <c r="R71" s="153"/>
      <c r="S71" s="105"/>
      <c r="T71" s="153"/>
      <c r="U71" s="105"/>
      <c r="V71" s="105"/>
      <c r="W71" s="105">
        <f>L71*35%</f>
        <v>45850.714875000005</v>
      </c>
      <c r="X71" s="105"/>
      <c r="Y71" s="105"/>
      <c r="Z71" s="105"/>
      <c r="AA71" s="105">
        <f t="shared" si="3"/>
        <v>189952.96162500003</v>
      </c>
      <c r="AB71" s="105">
        <f t="shared" si="4"/>
        <v>2279.4355395000002</v>
      </c>
    </row>
    <row r="72" spans="1:28" s="147" customFormat="1" ht="26" x14ac:dyDescent="0.25">
      <c r="A72" s="77">
        <v>60</v>
      </c>
      <c r="B72" s="142" t="s">
        <v>232</v>
      </c>
      <c r="C72" s="142" t="s">
        <v>136</v>
      </c>
      <c r="D72" s="146" t="s">
        <v>37</v>
      </c>
      <c r="E72" s="77">
        <v>1</v>
      </c>
      <c r="F72" s="146" t="s">
        <v>69</v>
      </c>
      <c r="G72" s="77" t="s">
        <v>327</v>
      </c>
      <c r="H72" s="75" t="s">
        <v>403</v>
      </c>
      <c r="I72" s="113">
        <v>4.16</v>
      </c>
      <c r="J72" s="104">
        <v>17697</v>
      </c>
      <c r="K72" s="76">
        <v>1.75</v>
      </c>
      <c r="L72" s="104">
        <f t="shared" si="0"/>
        <v>128834.16</v>
      </c>
      <c r="M72" s="104"/>
      <c r="N72" s="104">
        <f t="shared" si="1"/>
        <v>128834.16</v>
      </c>
      <c r="O72" s="104">
        <f t="shared" si="2"/>
        <v>12883.416000000001</v>
      </c>
      <c r="P72" s="104"/>
      <c r="Q72" s="153"/>
      <c r="R72" s="153"/>
      <c r="S72" s="105"/>
      <c r="T72" s="153"/>
      <c r="U72" s="105"/>
      <c r="V72" s="105"/>
      <c r="W72" s="105">
        <f>L72*35%</f>
        <v>45091.955999999998</v>
      </c>
      <c r="X72" s="105"/>
      <c r="Y72" s="105"/>
      <c r="Z72" s="105"/>
      <c r="AA72" s="105">
        <f t="shared" si="3"/>
        <v>186809.53200000001</v>
      </c>
      <c r="AB72" s="105">
        <f t="shared" si="4"/>
        <v>2241.7143839999999</v>
      </c>
    </row>
    <row r="73" spans="1:28" s="147" customFormat="1" ht="26" x14ac:dyDescent="0.25">
      <c r="A73" s="77">
        <v>61</v>
      </c>
      <c r="B73" s="142" t="s">
        <v>232</v>
      </c>
      <c r="C73" s="142" t="s">
        <v>257</v>
      </c>
      <c r="D73" s="146" t="s">
        <v>37</v>
      </c>
      <c r="E73" s="77">
        <v>1</v>
      </c>
      <c r="F73" s="146" t="s">
        <v>69</v>
      </c>
      <c r="G73" s="77" t="s">
        <v>327</v>
      </c>
      <c r="H73" s="75" t="s">
        <v>371</v>
      </c>
      <c r="I73" s="113">
        <v>4.3</v>
      </c>
      <c r="J73" s="104">
        <v>17697</v>
      </c>
      <c r="K73" s="76">
        <v>1.75</v>
      </c>
      <c r="L73" s="104">
        <f t="shared" si="0"/>
        <v>133169.92499999999</v>
      </c>
      <c r="M73" s="104"/>
      <c r="N73" s="104">
        <f t="shared" si="1"/>
        <v>133169.92499999999</v>
      </c>
      <c r="O73" s="104">
        <f t="shared" si="2"/>
        <v>13316.9925</v>
      </c>
      <c r="P73" s="104"/>
      <c r="Q73" s="153"/>
      <c r="R73" s="153"/>
      <c r="S73" s="105"/>
      <c r="T73" s="153"/>
      <c r="U73" s="105"/>
      <c r="V73" s="105"/>
      <c r="W73" s="105">
        <f>L73*35%</f>
        <v>46609.47374999999</v>
      </c>
      <c r="X73" s="105"/>
      <c r="Y73" s="105"/>
      <c r="Z73" s="105"/>
      <c r="AA73" s="105">
        <f t="shared" si="3"/>
        <v>193096.39124999999</v>
      </c>
      <c r="AB73" s="105">
        <f t="shared" si="4"/>
        <v>2317.1566949999997</v>
      </c>
    </row>
    <row r="74" spans="1:28" s="147" customFormat="1" ht="26" x14ac:dyDescent="0.25">
      <c r="A74" s="77">
        <v>62</v>
      </c>
      <c r="B74" s="142" t="s">
        <v>232</v>
      </c>
      <c r="C74" s="142" t="s">
        <v>258</v>
      </c>
      <c r="D74" s="146" t="s">
        <v>37</v>
      </c>
      <c r="E74" s="77">
        <v>1</v>
      </c>
      <c r="F74" s="146" t="s">
        <v>69</v>
      </c>
      <c r="G74" s="77" t="s">
        <v>327</v>
      </c>
      <c r="H74" s="76" t="s">
        <v>404</v>
      </c>
      <c r="I74" s="113">
        <v>4.2300000000000004</v>
      </c>
      <c r="J74" s="104">
        <v>17697</v>
      </c>
      <c r="K74" s="76">
        <v>1.75</v>
      </c>
      <c r="L74" s="104">
        <f t="shared" si="0"/>
        <v>131002.04250000003</v>
      </c>
      <c r="M74" s="104"/>
      <c r="N74" s="104">
        <f t="shared" si="1"/>
        <v>131002.04250000003</v>
      </c>
      <c r="O74" s="104">
        <f t="shared" si="2"/>
        <v>13100.204250000003</v>
      </c>
      <c r="P74" s="104"/>
      <c r="Q74" s="153"/>
      <c r="R74" s="153"/>
      <c r="S74" s="105"/>
      <c r="T74" s="153"/>
      <c r="U74" s="105"/>
      <c r="V74" s="105"/>
      <c r="W74" s="105">
        <f>L74*35%</f>
        <v>45850.714875000005</v>
      </c>
      <c r="X74" s="105"/>
      <c r="Y74" s="105"/>
      <c r="Z74" s="105"/>
      <c r="AA74" s="105">
        <f t="shared" si="3"/>
        <v>189952.96162500003</v>
      </c>
      <c r="AB74" s="105">
        <f t="shared" si="4"/>
        <v>2279.4355395000002</v>
      </c>
    </row>
    <row r="75" spans="1:28" s="147" customFormat="1" ht="26" x14ac:dyDescent="0.25">
      <c r="A75" s="77">
        <v>63</v>
      </c>
      <c r="B75" s="142" t="s">
        <v>232</v>
      </c>
      <c r="C75" s="142" t="s">
        <v>259</v>
      </c>
      <c r="D75" s="146" t="s">
        <v>37</v>
      </c>
      <c r="E75" s="77">
        <v>1</v>
      </c>
      <c r="F75" s="146" t="s">
        <v>70</v>
      </c>
      <c r="G75" s="77" t="s">
        <v>330</v>
      </c>
      <c r="H75" s="77" t="s">
        <v>405</v>
      </c>
      <c r="I75" s="115">
        <v>4.28</v>
      </c>
      <c r="J75" s="104">
        <v>17697</v>
      </c>
      <c r="K75" s="76">
        <v>1.75</v>
      </c>
      <c r="L75" s="104">
        <f t="shared" si="0"/>
        <v>132550.53</v>
      </c>
      <c r="M75" s="104"/>
      <c r="N75" s="104">
        <f t="shared" si="1"/>
        <v>132550.53</v>
      </c>
      <c r="O75" s="104">
        <f t="shared" si="2"/>
        <v>13255.053</v>
      </c>
      <c r="P75" s="104"/>
      <c r="Q75" s="153"/>
      <c r="R75" s="153"/>
      <c r="S75" s="105"/>
      <c r="T75" s="153"/>
      <c r="U75" s="105"/>
      <c r="V75" s="105">
        <f>L75*30%</f>
        <v>39765.159</v>
      </c>
      <c r="W75" s="105"/>
      <c r="X75" s="105"/>
      <c r="Y75" s="105"/>
      <c r="Z75" s="105"/>
      <c r="AA75" s="105">
        <f t="shared" si="3"/>
        <v>185570.74199999997</v>
      </c>
      <c r="AB75" s="105">
        <f t="shared" si="4"/>
        <v>2226.8489039999995</v>
      </c>
    </row>
    <row r="76" spans="1:28" s="147" customFormat="1" ht="26" x14ac:dyDescent="0.25">
      <c r="A76" s="77">
        <v>64</v>
      </c>
      <c r="B76" s="142" t="s">
        <v>260</v>
      </c>
      <c r="C76" s="142" t="s">
        <v>261</v>
      </c>
      <c r="D76" s="146" t="s">
        <v>37</v>
      </c>
      <c r="E76" s="77">
        <v>1</v>
      </c>
      <c r="F76" s="103"/>
      <c r="G76" s="77" t="s">
        <v>14</v>
      </c>
      <c r="H76" s="75" t="s">
        <v>406</v>
      </c>
      <c r="I76" s="113">
        <v>3.25</v>
      </c>
      <c r="J76" s="104">
        <v>17697</v>
      </c>
      <c r="K76" s="76">
        <v>1.23</v>
      </c>
      <c r="L76" s="104">
        <f t="shared" si="0"/>
        <v>70743.757499999992</v>
      </c>
      <c r="M76" s="104"/>
      <c r="N76" s="104">
        <f t="shared" si="1"/>
        <v>70743.757499999992</v>
      </c>
      <c r="O76" s="104">
        <f t="shared" si="2"/>
        <v>7074.3757499999992</v>
      </c>
      <c r="P76" s="104"/>
      <c r="Q76" s="153"/>
      <c r="R76" s="153"/>
      <c r="S76" s="105">
        <f>N76/20.42/2</f>
        <v>1732.2173726738488</v>
      </c>
      <c r="T76" s="105">
        <f>N76/20.42/8*243.33/2/4</f>
        <v>13171.889165397739</v>
      </c>
      <c r="U76" s="105"/>
      <c r="V76" s="105"/>
      <c r="W76" s="105"/>
      <c r="X76" s="105"/>
      <c r="Y76" s="105"/>
      <c r="Z76" s="105"/>
      <c r="AA76" s="105">
        <f t="shared" si="3"/>
        <v>92722.239788071573</v>
      </c>
      <c r="AB76" s="105">
        <f t="shared" si="4"/>
        <v>1112.6668774568589</v>
      </c>
    </row>
    <row r="77" spans="1:28" s="147" customFormat="1" ht="26" x14ac:dyDescent="0.25">
      <c r="A77" s="77">
        <v>65</v>
      </c>
      <c r="B77" s="142" t="s">
        <v>260</v>
      </c>
      <c r="C77" s="142" t="s">
        <v>262</v>
      </c>
      <c r="D77" s="146" t="s">
        <v>37</v>
      </c>
      <c r="E77" s="77">
        <v>1</v>
      </c>
      <c r="F77" s="103"/>
      <c r="G77" s="77" t="s">
        <v>14</v>
      </c>
      <c r="H77" s="75" t="s">
        <v>407</v>
      </c>
      <c r="I77" s="113">
        <v>3.25</v>
      </c>
      <c r="J77" s="104">
        <v>17697</v>
      </c>
      <c r="K77" s="76">
        <v>1.23</v>
      </c>
      <c r="L77" s="104">
        <f t="shared" si="0"/>
        <v>70743.757499999992</v>
      </c>
      <c r="M77" s="104"/>
      <c r="N77" s="104">
        <f t="shared" si="1"/>
        <v>70743.757499999992</v>
      </c>
      <c r="O77" s="104">
        <f t="shared" si="2"/>
        <v>7074.3757499999992</v>
      </c>
      <c r="P77" s="104"/>
      <c r="Q77" s="153"/>
      <c r="R77" s="153"/>
      <c r="S77" s="105">
        <f t="shared" ref="S77:S87" si="5">N77/20.42/2</f>
        <v>1732.2173726738488</v>
      </c>
      <c r="T77" s="105">
        <f t="shared" ref="T77:T87" si="6">N77/20.42/8*243.33/2/4</f>
        <v>13171.889165397739</v>
      </c>
      <c r="U77" s="105"/>
      <c r="V77" s="105"/>
      <c r="W77" s="105"/>
      <c r="X77" s="105"/>
      <c r="Y77" s="105"/>
      <c r="Z77" s="105"/>
      <c r="AA77" s="105">
        <f t="shared" si="3"/>
        <v>92722.239788071573</v>
      </c>
      <c r="AB77" s="105">
        <f t="shared" si="4"/>
        <v>1112.6668774568589</v>
      </c>
    </row>
    <row r="78" spans="1:28" s="147" customFormat="1" ht="26" x14ac:dyDescent="0.25">
      <c r="A78" s="77">
        <v>66</v>
      </c>
      <c r="B78" s="142" t="s">
        <v>260</v>
      </c>
      <c r="C78" s="142" t="s">
        <v>263</v>
      </c>
      <c r="D78" s="146" t="s">
        <v>37</v>
      </c>
      <c r="E78" s="77">
        <v>1</v>
      </c>
      <c r="F78" s="103"/>
      <c r="G78" s="77" t="s">
        <v>14</v>
      </c>
      <c r="H78" s="75" t="s">
        <v>359</v>
      </c>
      <c r="I78" s="113">
        <v>3.22</v>
      </c>
      <c r="J78" s="104">
        <v>17697</v>
      </c>
      <c r="K78" s="76">
        <v>1.23</v>
      </c>
      <c r="L78" s="104">
        <f t="shared" si="0"/>
        <v>70090.738200000007</v>
      </c>
      <c r="M78" s="104"/>
      <c r="N78" s="104">
        <f t="shared" ref="N78:N131" si="7">L78+M78</f>
        <v>70090.738200000007</v>
      </c>
      <c r="O78" s="104">
        <f t="shared" ref="O78:O131" si="8">N78*10%</f>
        <v>7009.0738200000014</v>
      </c>
      <c r="P78" s="104"/>
      <c r="Q78" s="153"/>
      <c r="R78" s="153"/>
      <c r="S78" s="105">
        <f t="shared" si="5"/>
        <v>1716.2276738491676</v>
      </c>
      <c r="T78" s="105">
        <f t="shared" si="6"/>
        <v>13050.302496178687</v>
      </c>
      <c r="U78" s="105"/>
      <c r="V78" s="105"/>
      <c r="W78" s="105"/>
      <c r="X78" s="105"/>
      <c r="Y78" s="105"/>
      <c r="Z78" s="105"/>
      <c r="AA78" s="105">
        <f t="shared" ref="AA78:AA131" si="9">SUM(N78:Z78)</f>
        <v>91866.342190027863</v>
      </c>
      <c r="AB78" s="105">
        <f t="shared" ref="AB78:AB131" si="10">AA78*12/1000</f>
        <v>1102.3961062803344</v>
      </c>
    </row>
    <row r="79" spans="1:28" s="147" customFormat="1" ht="26" x14ac:dyDescent="0.25">
      <c r="A79" s="77">
        <v>67</v>
      </c>
      <c r="B79" s="142" t="s">
        <v>260</v>
      </c>
      <c r="C79" s="142" t="s">
        <v>264</v>
      </c>
      <c r="D79" s="146" t="s">
        <v>37</v>
      </c>
      <c r="E79" s="77">
        <v>1</v>
      </c>
      <c r="F79" s="103"/>
      <c r="G79" s="77" t="s">
        <v>14</v>
      </c>
      <c r="H79" s="75" t="s">
        <v>408</v>
      </c>
      <c r="I79" s="113">
        <v>3.22</v>
      </c>
      <c r="J79" s="104">
        <v>17697</v>
      </c>
      <c r="K79" s="76">
        <v>1.23</v>
      </c>
      <c r="L79" s="104">
        <f t="shared" si="0"/>
        <v>70090.738200000007</v>
      </c>
      <c r="M79" s="104"/>
      <c r="N79" s="104">
        <f t="shared" si="7"/>
        <v>70090.738200000007</v>
      </c>
      <c r="O79" s="104">
        <f t="shared" si="8"/>
        <v>7009.0738200000014</v>
      </c>
      <c r="P79" s="104"/>
      <c r="Q79" s="153"/>
      <c r="R79" s="153"/>
      <c r="S79" s="105">
        <f t="shared" si="5"/>
        <v>1716.2276738491676</v>
      </c>
      <c r="T79" s="105">
        <f t="shared" si="6"/>
        <v>13050.302496178687</v>
      </c>
      <c r="U79" s="105"/>
      <c r="V79" s="105"/>
      <c r="W79" s="105"/>
      <c r="X79" s="105"/>
      <c r="Y79" s="105"/>
      <c r="Z79" s="105"/>
      <c r="AA79" s="105">
        <f t="shared" si="9"/>
        <v>91866.342190027863</v>
      </c>
      <c r="AB79" s="105">
        <f t="shared" si="10"/>
        <v>1102.3961062803344</v>
      </c>
    </row>
    <row r="80" spans="1:28" s="147" customFormat="1" ht="26" x14ac:dyDescent="0.25">
      <c r="A80" s="77">
        <v>68</v>
      </c>
      <c r="B80" s="142" t="s">
        <v>260</v>
      </c>
      <c r="C80" s="142" t="s">
        <v>265</v>
      </c>
      <c r="D80" s="146" t="s">
        <v>37</v>
      </c>
      <c r="E80" s="77">
        <v>1</v>
      </c>
      <c r="F80" s="103"/>
      <c r="G80" s="77" t="s">
        <v>14</v>
      </c>
      <c r="H80" s="75" t="s">
        <v>409</v>
      </c>
      <c r="I80" s="113">
        <v>3.19</v>
      </c>
      <c r="J80" s="104">
        <v>17697</v>
      </c>
      <c r="K80" s="76">
        <v>1.23</v>
      </c>
      <c r="L80" s="104">
        <f t="shared" si="0"/>
        <v>69437.718899999993</v>
      </c>
      <c r="M80" s="104"/>
      <c r="N80" s="104">
        <f t="shared" si="7"/>
        <v>69437.718899999993</v>
      </c>
      <c r="O80" s="104">
        <f t="shared" si="8"/>
        <v>6943.77189</v>
      </c>
      <c r="P80" s="104"/>
      <c r="Q80" s="153"/>
      <c r="R80" s="153"/>
      <c r="S80" s="105">
        <f t="shared" si="5"/>
        <v>1700.2379750244854</v>
      </c>
      <c r="T80" s="105">
        <f t="shared" si="6"/>
        <v>12928.715826959628</v>
      </c>
      <c r="U80" s="105"/>
      <c r="V80" s="105"/>
      <c r="W80" s="105"/>
      <c r="X80" s="105"/>
      <c r="Y80" s="105"/>
      <c r="Z80" s="105"/>
      <c r="AA80" s="105">
        <f t="shared" si="9"/>
        <v>91010.444591984109</v>
      </c>
      <c r="AB80" s="105">
        <f t="shared" si="10"/>
        <v>1092.1253351038094</v>
      </c>
    </row>
    <row r="81" spans="1:28" s="147" customFormat="1" ht="26" x14ac:dyDescent="0.25">
      <c r="A81" s="77">
        <v>69</v>
      </c>
      <c r="B81" s="142" t="s">
        <v>260</v>
      </c>
      <c r="C81" s="142" t="s">
        <v>266</v>
      </c>
      <c r="D81" s="146" t="s">
        <v>37</v>
      </c>
      <c r="E81" s="77">
        <v>1</v>
      </c>
      <c r="F81" s="103"/>
      <c r="G81" s="77" t="s">
        <v>14</v>
      </c>
      <c r="H81" s="75" t="s">
        <v>410</v>
      </c>
      <c r="I81" s="113">
        <v>3.22</v>
      </c>
      <c r="J81" s="104">
        <v>17697</v>
      </c>
      <c r="K81" s="76">
        <v>1.23</v>
      </c>
      <c r="L81" s="104">
        <f t="shared" si="0"/>
        <v>70090.738200000007</v>
      </c>
      <c r="M81" s="104"/>
      <c r="N81" s="104">
        <f t="shared" si="7"/>
        <v>70090.738200000007</v>
      </c>
      <c r="O81" s="104">
        <f t="shared" si="8"/>
        <v>7009.0738200000014</v>
      </c>
      <c r="P81" s="104"/>
      <c r="Q81" s="153"/>
      <c r="R81" s="153"/>
      <c r="S81" s="105">
        <f t="shared" si="5"/>
        <v>1716.2276738491676</v>
      </c>
      <c r="T81" s="105">
        <f t="shared" si="6"/>
        <v>13050.302496178687</v>
      </c>
      <c r="U81" s="105"/>
      <c r="V81" s="105"/>
      <c r="W81" s="105"/>
      <c r="X81" s="105"/>
      <c r="Y81" s="105"/>
      <c r="Z81" s="105"/>
      <c r="AA81" s="105">
        <f t="shared" si="9"/>
        <v>91866.342190027863</v>
      </c>
      <c r="AB81" s="105">
        <f t="shared" si="10"/>
        <v>1102.3961062803344</v>
      </c>
    </row>
    <row r="82" spans="1:28" s="147" customFormat="1" ht="26" x14ac:dyDescent="0.25">
      <c r="A82" s="77">
        <v>70</v>
      </c>
      <c r="B82" s="142" t="s">
        <v>260</v>
      </c>
      <c r="C82" s="142" t="s">
        <v>267</v>
      </c>
      <c r="D82" s="146" t="s">
        <v>349</v>
      </c>
      <c r="E82" s="77">
        <v>1</v>
      </c>
      <c r="F82" s="103"/>
      <c r="G82" s="77" t="s">
        <v>14</v>
      </c>
      <c r="H82" s="75" t="s">
        <v>390</v>
      </c>
      <c r="I82" s="113">
        <v>3.19</v>
      </c>
      <c r="J82" s="104">
        <v>17697</v>
      </c>
      <c r="K82" s="76">
        <v>1.23</v>
      </c>
      <c r="L82" s="104">
        <f t="shared" si="0"/>
        <v>69437.718899999993</v>
      </c>
      <c r="M82" s="104"/>
      <c r="N82" s="104">
        <f t="shared" si="7"/>
        <v>69437.718899999993</v>
      </c>
      <c r="O82" s="104">
        <f t="shared" si="8"/>
        <v>6943.77189</v>
      </c>
      <c r="P82" s="104"/>
      <c r="Q82" s="153"/>
      <c r="R82" s="153"/>
      <c r="S82" s="105">
        <f t="shared" si="5"/>
        <v>1700.2379750244854</v>
      </c>
      <c r="T82" s="105">
        <f t="shared" si="6"/>
        <v>12928.715826959628</v>
      </c>
      <c r="U82" s="105"/>
      <c r="V82" s="105"/>
      <c r="W82" s="105"/>
      <c r="X82" s="105"/>
      <c r="Y82" s="105"/>
      <c r="Z82" s="105"/>
      <c r="AA82" s="105">
        <f t="shared" si="9"/>
        <v>91010.444591984109</v>
      </c>
      <c r="AB82" s="105">
        <f t="shared" si="10"/>
        <v>1092.1253351038094</v>
      </c>
    </row>
    <row r="83" spans="1:28" s="147" customFormat="1" ht="26" x14ac:dyDescent="0.25">
      <c r="A83" s="77">
        <v>71</v>
      </c>
      <c r="B83" s="142" t="s">
        <v>260</v>
      </c>
      <c r="C83" s="142" t="s">
        <v>268</v>
      </c>
      <c r="D83" s="146" t="s">
        <v>350</v>
      </c>
      <c r="E83" s="77">
        <v>1</v>
      </c>
      <c r="F83" s="103"/>
      <c r="G83" s="77" t="s">
        <v>14</v>
      </c>
      <c r="H83" s="75" t="s">
        <v>390</v>
      </c>
      <c r="I83" s="113">
        <v>3.19</v>
      </c>
      <c r="J83" s="104">
        <v>17697</v>
      </c>
      <c r="K83" s="76">
        <v>1.23</v>
      </c>
      <c r="L83" s="104">
        <f t="shared" si="0"/>
        <v>69437.718899999993</v>
      </c>
      <c r="M83" s="104"/>
      <c r="N83" s="104">
        <f t="shared" si="7"/>
        <v>69437.718899999993</v>
      </c>
      <c r="O83" s="104">
        <f t="shared" si="8"/>
        <v>6943.77189</v>
      </c>
      <c r="P83" s="104"/>
      <c r="Q83" s="153"/>
      <c r="R83" s="153"/>
      <c r="S83" s="105">
        <f t="shared" si="5"/>
        <v>1700.2379750244854</v>
      </c>
      <c r="T83" s="105">
        <f t="shared" si="6"/>
        <v>12928.715826959628</v>
      </c>
      <c r="U83" s="105"/>
      <c r="V83" s="105"/>
      <c r="W83" s="105"/>
      <c r="X83" s="105"/>
      <c r="Y83" s="105"/>
      <c r="Z83" s="105"/>
      <c r="AA83" s="105">
        <f t="shared" si="9"/>
        <v>91010.444591984109</v>
      </c>
      <c r="AB83" s="105">
        <f t="shared" si="10"/>
        <v>1092.1253351038094</v>
      </c>
    </row>
    <row r="84" spans="1:28" s="147" customFormat="1" ht="26" x14ac:dyDescent="0.25">
      <c r="A84" s="77">
        <v>72</v>
      </c>
      <c r="B84" s="142" t="s">
        <v>260</v>
      </c>
      <c r="C84" s="142" t="s">
        <v>269</v>
      </c>
      <c r="D84" s="146" t="s">
        <v>349</v>
      </c>
      <c r="E84" s="77">
        <v>1</v>
      </c>
      <c r="F84" s="103"/>
      <c r="G84" s="77" t="s">
        <v>14</v>
      </c>
      <c r="H84" s="75" t="s">
        <v>376</v>
      </c>
      <c r="I84" s="113">
        <v>3.16</v>
      </c>
      <c r="J84" s="104">
        <v>17697</v>
      </c>
      <c r="K84" s="76">
        <v>1.23</v>
      </c>
      <c r="L84" s="104">
        <f t="shared" si="0"/>
        <v>68784.699600000007</v>
      </c>
      <c r="M84" s="104"/>
      <c r="N84" s="104">
        <f t="shared" si="7"/>
        <v>68784.699600000007</v>
      </c>
      <c r="O84" s="104">
        <f t="shared" si="8"/>
        <v>6878.4699600000013</v>
      </c>
      <c r="P84" s="104"/>
      <c r="Q84" s="153"/>
      <c r="R84" s="153"/>
      <c r="S84" s="105">
        <f t="shared" si="5"/>
        <v>1684.2482761998042</v>
      </c>
      <c r="T84" s="105">
        <f t="shared" si="6"/>
        <v>12807.129157740574</v>
      </c>
      <c r="U84" s="105"/>
      <c r="V84" s="105"/>
      <c r="W84" s="105"/>
      <c r="X84" s="105"/>
      <c r="Y84" s="105"/>
      <c r="Z84" s="105"/>
      <c r="AA84" s="105">
        <f t="shared" si="9"/>
        <v>90154.546993940399</v>
      </c>
      <c r="AB84" s="105">
        <f t="shared" si="10"/>
        <v>1081.854563927285</v>
      </c>
    </row>
    <row r="85" spans="1:28" s="147" customFormat="1" ht="26" x14ac:dyDescent="0.25">
      <c r="A85" s="77">
        <v>73</v>
      </c>
      <c r="B85" s="142" t="s">
        <v>260</v>
      </c>
      <c r="C85" s="142" t="s">
        <v>270</v>
      </c>
      <c r="D85" s="146" t="s">
        <v>37</v>
      </c>
      <c r="E85" s="77">
        <v>1</v>
      </c>
      <c r="F85" s="103"/>
      <c r="G85" s="77" t="s">
        <v>14</v>
      </c>
      <c r="H85" s="75" t="s">
        <v>411</v>
      </c>
      <c r="I85" s="113">
        <v>3.29</v>
      </c>
      <c r="J85" s="104">
        <v>17697</v>
      </c>
      <c r="K85" s="76">
        <v>1.23</v>
      </c>
      <c r="L85" s="104">
        <f t="shared" si="0"/>
        <v>71614.449899999992</v>
      </c>
      <c r="M85" s="104"/>
      <c r="N85" s="104">
        <f t="shared" si="7"/>
        <v>71614.449899999992</v>
      </c>
      <c r="O85" s="104">
        <f t="shared" si="8"/>
        <v>7161.44499</v>
      </c>
      <c r="P85" s="104"/>
      <c r="Q85" s="153"/>
      <c r="R85" s="153"/>
      <c r="S85" s="105">
        <f t="shared" si="5"/>
        <v>1753.5369711067578</v>
      </c>
      <c r="T85" s="105">
        <f t="shared" si="6"/>
        <v>13334.004724356482</v>
      </c>
      <c r="U85" s="105"/>
      <c r="V85" s="105"/>
      <c r="W85" s="105"/>
      <c r="X85" s="105"/>
      <c r="Y85" s="105"/>
      <c r="Z85" s="105"/>
      <c r="AA85" s="105">
        <f t="shared" si="9"/>
        <v>93863.436585463234</v>
      </c>
      <c r="AB85" s="105">
        <f t="shared" si="10"/>
        <v>1126.3612390255589</v>
      </c>
    </row>
    <row r="86" spans="1:28" s="147" customFormat="1" ht="26" x14ac:dyDescent="0.25">
      <c r="A86" s="77">
        <v>74</v>
      </c>
      <c r="B86" s="142" t="s">
        <v>260</v>
      </c>
      <c r="C86" s="142" t="s">
        <v>271</v>
      </c>
      <c r="D86" s="146" t="s">
        <v>37</v>
      </c>
      <c r="E86" s="77">
        <v>1</v>
      </c>
      <c r="F86" s="103"/>
      <c r="G86" s="77" t="s">
        <v>14</v>
      </c>
      <c r="H86" s="75" t="s">
        <v>412</v>
      </c>
      <c r="I86" s="113">
        <v>3.12</v>
      </c>
      <c r="J86" s="104">
        <v>17697</v>
      </c>
      <c r="K86" s="76">
        <v>1.23</v>
      </c>
      <c r="L86" s="104">
        <f t="shared" si="0"/>
        <v>67914.007199999993</v>
      </c>
      <c r="M86" s="104"/>
      <c r="N86" s="104">
        <f t="shared" si="7"/>
        <v>67914.007199999993</v>
      </c>
      <c r="O86" s="104">
        <f t="shared" si="8"/>
        <v>6791.4007199999996</v>
      </c>
      <c r="P86" s="104"/>
      <c r="Q86" s="153"/>
      <c r="R86" s="153"/>
      <c r="S86" s="105">
        <f t="shared" si="5"/>
        <v>1662.9286777668949</v>
      </c>
      <c r="T86" s="105">
        <f t="shared" si="6"/>
        <v>12645.01359878183</v>
      </c>
      <c r="U86" s="105"/>
      <c r="V86" s="105"/>
      <c r="W86" s="105"/>
      <c r="X86" s="105"/>
      <c r="Y86" s="105"/>
      <c r="Z86" s="105"/>
      <c r="AA86" s="105">
        <f t="shared" si="9"/>
        <v>89013.350196548723</v>
      </c>
      <c r="AB86" s="105">
        <f t="shared" si="10"/>
        <v>1068.1602023585847</v>
      </c>
    </row>
    <row r="87" spans="1:28" s="147" customFormat="1" ht="13" x14ac:dyDescent="0.25">
      <c r="A87" s="77">
        <v>75</v>
      </c>
      <c r="B87" s="142" t="s">
        <v>260</v>
      </c>
      <c r="C87" s="142" t="s">
        <v>141</v>
      </c>
      <c r="D87" s="146" t="s">
        <v>37</v>
      </c>
      <c r="E87" s="77">
        <v>1</v>
      </c>
      <c r="F87" s="103"/>
      <c r="G87" s="77" t="s">
        <v>14</v>
      </c>
      <c r="H87" s="75" t="s">
        <v>368</v>
      </c>
      <c r="I87" s="113">
        <v>3.29</v>
      </c>
      <c r="J87" s="104">
        <v>17697</v>
      </c>
      <c r="K87" s="76">
        <v>1.23</v>
      </c>
      <c r="L87" s="104">
        <f t="shared" si="0"/>
        <v>71614.449899999992</v>
      </c>
      <c r="M87" s="104"/>
      <c r="N87" s="104">
        <f t="shared" si="7"/>
        <v>71614.449899999992</v>
      </c>
      <c r="O87" s="104">
        <f t="shared" si="8"/>
        <v>7161.44499</v>
      </c>
      <c r="P87" s="104"/>
      <c r="Q87" s="153"/>
      <c r="R87" s="153"/>
      <c r="S87" s="105">
        <f t="shared" si="5"/>
        <v>1753.5369711067578</v>
      </c>
      <c r="T87" s="105">
        <f t="shared" si="6"/>
        <v>13334.004724356482</v>
      </c>
      <c r="U87" s="105"/>
      <c r="V87" s="105"/>
      <c r="W87" s="105"/>
      <c r="X87" s="105"/>
      <c r="Y87" s="105"/>
      <c r="Z87" s="105"/>
      <c r="AA87" s="105">
        <f t="shared" si="9"/>
        <v>93863.436585463234</v>
      </c>
      <c r="AB87" s="105">
        <f t="shared" si="10"/>
        <v>1126.3612390255589</v>
      </c>
    </row>
    <row r="88" spans="1:28" s="147" customFormat="1" ht="26" x14ac:dyDescent="0.25">
      <c r="A88" s="77">
        <v>76</v>
      </c>
      <c r="B88" s="142" t="s">
        <v>7</v>
      </c>
      <c r="C88" s="142" t="s">
        <v>272</v>
      </c>
      <c r="D88" s="146" t="s">
        <v>350</v>
      </c>
      <c r="E88" s="77">
        <v>1</v>
      </c>
      <c r="F88" s="103"/>
      <c r="G88" s="77" t="s">
        <v>14</v>
      </c>
      <c r="H88" s="75" t="s">
        <v>413</v>
      </c>
      <c r="I88" s="113">
        <v>3.16</v>
      </c>
      <c r="J88" s="104">
        <v>17697</v>
      </c>
      <c r="K88" s="76">
        <v>1.23</v>
      </c>
      <c r="L88" s="104">
        <f t="shared" si="0"/>
        <v>68784.699600000007</v>
      </c>
      <c r="M88" s="104"/>
      <c r="N88" s="104">
        <f t="shared" si="7"/>
        <v>68784.699600000007</v>
      </c>
      <c r="O88" s="104">
        <f t="shared" si="8"/>
        <v>6878.4699600000013</v>
      </c>
      <c r="P88" s="104"/>
      <c r="Q88" s="153"/>
      <c r="R88" s="153"/>
      <c r="S88" s="105"/>
      <c r="T88" s="153"/>
      <c r="U88" s="105"/>
      <c r="V88" s="105"/>
      <c r="W88" s="105"/>
      <c r="X88" s="105"/>
      <c r="Y88" s="105"/>
      <c r="Z88" s="105"/>
      <c r="AA88" s="105">
        <f t="shared" si="9"/>
        <v>75663.169560000009</v>
      </c>
      <c r="AB88" s="105">
        <f t="shared" si="10"/>
        <v>907.95803472000011</v>
      </c>
    </row>
    <row r="89" spans="1:28" s="147" customFormat="1" ht="26" x14ac:dyDescent="0.25">
      <c r="A89" s="77">
        <v>77</v>
      </c>
      <c r="B89" s="142" t="s">
        <v>273</v>
      </c>
      <c r="C89" s="142" t="s">
        <v>274</v>
      </c>
      <c r="D89" s="146" t="s">
        <v>349</v>
      </c>
      <c r="E89" s="77">
        <v>0.5</v>
      </c>
      <c r="F89" s="103"/>
      <c r="G89" s="77" t="s">
        <v>14</v>
      </c>
      <c r="H89" s="75" t="s">
        <v>401</v>
      </c>
      <c r="I89" s="113">
        <v>3.16</v>
      </c>
      <c r="J89" s="104">
        <v>17697</v>
      </c>
      <c r="K89" s="76">
        <v>1.23</v>
      </c>
      <c r="L89" s="104">
        <f t="shared" si="0"/>
        <v>34392.349800000004</v>
      </c>
      <c r="M89" s="104"/>
      <c r="N89" s="104">
        <f t="shared" si="7"/>
        <v>34392.349800000004</v>
      </c>
      <c r="O89" s="104">
        <f t="shared" si="8"/>
        <v>3439.2349800000006</v>
      </c>
      <c r="P89" s="104"/>
      <c r="Q89" s="105">
        <f>SUM(E89*J89*0.2)</f>
        <v>1769.7</v>
      </c>
      <c r="R89" s="153"/>
      <c r="S89" s="105"/>
      <c r="T89" s="153"/>
      <c r="U89" s="105"/>
      <c r="V89" s="105"/>
      <c r="W89" s="105"/>
      <c r="X89" s="105"/>
      <c r="Y89" s="105"/>
      <c r="Z89" s="105"/>
      <c r="AA89" s="105">
        <f t="shared" si="9"/>
        <v>39601.284780000002</v>
      </c>
      <c r="AB89" s="105">
        <f t="shared" si="10"/>
        <v>475.21541736</v>
      </c>
    </row>
    <row r="90" spans="1:28" s="147" customFormat="1" ht="22.5" customHeight="1" x14ac:dyDescent="0.25">
      <c r="A90" s="77">
        <v>78</v>
      </c>
      <c r="B90" s="142" t="s">
        <v>273</v>
      </c>
      <c r="C90" s="142" t="s">
        <v>275</v>
      </c>
      <c r="D90" s="146" t="s">
        <v>349</v>
      </c>
      <c r="E90" s="77">
        <v>0.5</v>
      </c>
      <c r="F90" s="103"/>
      <c r="G90" s="77" t="s">
        <v>14</v>
      </c>
      <c r="H90" s="75" t="s">
        <v>370</v>
      </c>
      <c r="I90" s="113">
        <v>2.94</v>
      </c>
      <c r="J90" s="104">
        <v>17697</v>
      </c>
      <c r="K90" s="76">
        <v>1.23</v>
      </c>
      <c r="L90" s="104">
        <f t="shared" si="0"/>
        <v>31997.9457</v>
      </c>
      <c r="M90" s="104"/>
      <c r="N90" s="104">
        <f t="shared" si="7"/>
        <v>31997.9457</v>
      </c>
      <c r="O90" s="104">
        <f t="shared" si="8"/>
        <v>3199.79457</v>
      </c>
      <c r="P90" s="104"/>
      <c r="Q90" s="105">
        <f>SUM(E90*J90*0.2)</f>
        <v>1769.7</v>
      </c>
      <c r="R90" s="153"/>
      <c r="S90" s="105"/>
      <c r="T90" s="153"/>
      <c r="U90" s="105"/>
      <c r="V90" s="105"/>
      <c r="W90" s="105"/>
      <c r="X90" s="105"/>
      <c r="Y90" s="105"/>
      <c r="Z90" s="105"/>
      <c r="AA90" s="105">
        <f t="shared" si="9"/>
        <v>36967.440269999999</v>
      </c>
      <c r="AB90" s="105">
        <f t="shared" si="10"/>
        <v>443.60928324000002</v>
      </c>
    </row>
    <row r="91" spans="1:28" s="147" customFormat="1" ht="13" x14ac:dyDescent="0.25">
      <c r="A91" s="77">
        <v>79</v>
      </c>
      <c r="B91" s="142" t="s">
        <v>276</v>
      </c>
      <c r="C91" s="142" t="s">
        <v>277</v>
      </c>
      <c r="D91" s="146" t="s">
        <v>37</v>
      </c>
      <c r="E91" s="77">
        <v>1</v>
      </c>
      <c r="F91" s="103"/>
      <c r="G91" s="77" t="s">
        <v>14</v>
      </c>
      <c r="H91" s="75" t="s">
        <v>370</v>
      </c>
      <c r="I91" s="113">
        <v>2.94</v>
      </c>
      <c r="J91" s="104">
        <v>17697</v>
      </c>
      <c r="K91" s="76">
        <v>1.23</v>
      </c>
      <c r="L91" s="104">
        <f t="shared" si="0"/>
        <v>63995.8914</v>
      </c>
      <c r="M91" s="104"/>
      <c r="N91" s="104">
        <f t="shared" si="7"/>
        <v>63995.8914</v>
      </c>
      <c r="O91" s="104">
        <f t="shared" si="8"/>
        <v>6399.58914</v>
      </c>
      <c r="P91" s="104"/>
      <c r="Q91" s="153"/>
      <c r="R91" s="153"/>
      <c r="S91" s="105"/>
      <c r="T91" s="153"/>
      <c r="U91" s="105"/>
      <c r="V91" s="105"/>
      <c r="W91" s="105"/>
      <c r="X91" s="105"/>
      <c r="Y91" s="105"/>
      <c r="Z91" s="105"/>
      <c r="AA91" s="105">
        <f t="shared" si="9"/>
        <v>70395.480540000004</v>
      </c>
      <c r="AB91" s="105">
        <f t="shared" si="10"/>
        <v>844.74576648000004</v>
      </c>
    </row>
    <row r="92" spans="1:28" s="147" customFormat="1" ht="26" x14ac:dyDescent="0.25">
      <c r="A92" s="77">
        <v>80</v>
      </c>
      <c r="B92" s="142" t="s">
        <v>317</v>
      </c>
      <c r="C92" s="142" t="s">
        <v>141</v>
      </c>
      <c r="D92" s="146" t="s">
        <v>37</v>
      </c>
      <c r="E92" s="77">
        <v>1</v>
      </c>
      <c r="F92" s="103"/>
      <c r="G92" s="77" t="s">
        <v>14</v>
      </c>
      <c r="H92" s="156" t="s">
        <v>358</v>
      </c>
      <c r="I92" s="113">
        <v>2.94</v>
      </c>
      <c r="J92" s="104">
        <v>17697</v>
      </c>
      <c r="K92" s="76">
        <v>1.23</v>
      </c>
      <c r="L92" s="104">
        <f>(I92*17697*E92)*K92</f>
        <v>63995.8914</v>
      </c>
      <c r="M92" s="104"/>
      <c r="N92" s="104">
        <f>L92+M92</f>
        <v>63995.8914</v>
      </c>
      <c r="O92" s="104">
        <f>N92*10%</f>
        <v>6399.58914</v>
      </c>
      <c r="P92" s="104"/>
      <c r="Q92" s="153"/>
      <c r="R92" s="153"/>
      <c r="S92" s="105"/>
      <c r="T92" s="153"/>
      <c r="U92" s="105"/>
      <c r="V92" s="105"/>
      <c r="W92" s="105"/>
      <c r="X92" s="105"/>
      <c r="Y92" s="105"/>
      <c r="Z92" s="105"/>
      <c r="AA92" s="105">
        <f t="shared" si="9"/>
        <v>70395.480540000004</v>
      </c>
      <c r="AB92" s="105">
        <f t="shared" si="10"/>
        <v>844.74576648000004</v>
      </c>
    </row>
    <row r="93" spans="1:28" s="147" customFormat="1" ht="26" x14ac:dyDescent="0.25">
      <c r="A93" s="77">
        <v>81</v>
      </c>
      <c r="B93" s="142" t="s">
        <v>278</v>
      </c>
      <c r="C93" s="142" t="s">
        <v>279</v>
      </c>
      <c r="D93" s="146" t="s">
        <v>350</v>
      </c>
      <c r="E93" s="103">
        <v>1</v>
      </c>
      <c r="F93" s="103"/>
      <c r="G93" s="103">
        <v>5</v>
      </c>
      <c r="H93" s="156"/>
      <c r="I93" s="157">
        <v>2.92</v>
      </c>
      <c r="J93" s="104">
        <v>17697</v>
      </c>
      <c r="K93" s="205">
        <v>1.23</v>
      </c>
      <c r="L93" s="104">
        <f t="shared" si="0"/>
        <v>63560.545199999993</v>
      </c>
      <c r="M93" s="104"/>
      <c r="N93" s="104">
        <f t="shared" si="7"/>
        <v>63560.545199999993</v>
      </c>
      <c r="O93" s="104">
        <f t="shared" si="8"/>
        <v>6356.0545199999997</v>
      </c>
      <c r="P93" s="104"/>
      <c r="Q93" s="105">
        <f>17697*30%</f>
        <v>5309.0999999999995</v>
      </c>
      <c r="R93" s="153"/>
      <c r="S93" s="105"/>
      <c r="T93" s="153"/>
      <c r="U93" s="105"/>
      <c r="V93" s="105"/>
      <c r="W93" s="105"/>
      <c r="X93" s="105"/>
      <c r="Y93" s="105"/>
      <c r="Z93" s="105"/>
      <c r="AA93" s="105">
        <f t="shared" si="9"/>
        <v>75225.699720000004</v>
      </c>
      <c r="AB93" s="105">
        <f t="shared" si="10"/>
        <v>902.70839664000005</v>
      </c>
    </row>
    <row r="94" spans="1:28" s="147" customFormat="1" ht="26" x14ac:dyDescent="0.25">
      <c r="A94" s="77">
        <v>82</v>
      </c>
      <c r="B94" s="142" t="s">
        <v>280</v>
      </c>
      <c r="C94" s="142" t="s">
        <v>281</v>
      </c>
      <c r="D94" s="146" t="s">
        <v>350</v>
      </c>
      <c r="E94" s="77">
        <v>1</v>
      </c>
      <c r="F94" s="103"/>
      <c r="G94" s="77">
        <v>5</v>
      </c>
      <c r="H94" s="75"/>
      <c r="I94" s="113">
        <v>2.92</v>
      </c>
      <c r="J94" s="104">
        <v>17697</v>
      </c>
      <c r="K94" s="76">
        <v>1.23</v>
      </c>
      <c r="L94" s="104">
        <f t="shared" si="0"/>
        <v>63560.545199999993</v>
      </c>
      <c r="M94" s="104"/>
      <c r="N94" s="104">
        <f t="shared" si="7"/>
        <v>63560.545199999993</v>
      </c>
      <c r="O94" s="104">
        <f t="shared" si="8"/>
        <v>6356.0545199999997</v>
      </c>
      <c r="P94" s="104"/>
      <c r="Q94" s="153"/>
      <c r="R94" s="153"/>
      <c r="S94" s="105"/>
      <c r="T94" s="153"/>
      <c r="U94" s="105"/>
      <c r="V94" s="105"/>
      <c r="W94" s="105"/>
      <c r="X94" s="105"/>
      <c r="Y94" s="105"/>
      <c r="Z94" s="105"/>
      <c r="AA94" s="105">
        <f t="shared" si="9"/>
        <v>69916.599719999998</v>
      </c>
      <c r="AB94" s="105">
        <f t="shared" si="10"/>
        <v>838.99919664000004</v>
      </c>
    </row>
    <row r="95" spans="1:28" s="147" customFormat="1" ht="26" x14ac:dyDescent="0.25">
      <c r="A95" s="77">
        <v>83</v>
      </c>
      <c r="B95" s="142" t="s">
        <v>282</v>
      </c>
      <c r="C95" s="142" t="s">
        <v>207</v>
      </c>
      <c r="D95" s="146" t="s">
        <v>350</v>
      </c>
      <c r="E95" s="77">
        <v>1</v>
      </c>
      <c r="F95" s="103"/>
      <c r="G95" s="77">
        <v>2</v>
      </c>
      <c r="H95" s="75"/>
      <c r="I95" s="113">
        <v>2.81</v>
      </c>
      <c r="J95" s="104">
        <v>17697</v>
      </c>
      <c r="K95" s="76">
        <v>1.23</v>
      </c>
      <c r="L95" s="104">
        <f t="shared" si="0"/>
        <v>61166.141100000001</v>
      </c>
      <c r="M95" s="104"/>
      <c r="N95" s="104">
        <f t="shared" si="7"/>
        <v>61166.141100000001</v>
      </c>
      <c r="O95" s="104">
        <f t="shared" si="8"/>
        <v>6116.6141100000004</v>
      </c>
      <c r="P95" s="104"/>
      <c r="Q95" s="153"/>
      <c r="R95" s="153"/>
      <c r="S95" s="105"/>
      <c r="T95" s="153"/>
      <c r="U95" s="105"/>
      <c r="V95" s="105"/>
      <c r="W95" s="105"/>
      <c r="X95" s="105"/>
      <c r="Y95" s="105"/>
      <c r="Z95" s="105"/>
      <c r="AA95" s="105">
        <f t="shared" si="9"/>
        <v>67282.755210000003</v>
      </c>
      <c r="AB95" s="105">
        <f t="shared" si="10"/>
        <v>807.39306252000006</v>
      </c>
    </row>
    <row r="96" spans="1:28" s="147" customFormat="1" ht="26" x14ac:dyDescent="0.25">
      <c r="A96" s="77">
        <v>84</v>
      </c>
      <c r="B96" s="142" t="s">
        <v>8</v>
      </c>
      <c r="C96" s="142" t="s">
        <v>274</v>
      </c>
      <c r="D96" s="146" t="s">
        <v>350</v>
      </c>
      <c r="E96" s="77">
        <v>1</v>
      </c>
      <c r="F96" s="103"/>
      <c r="G96" s="77">
        <v>5</v>
      </c>
      <c r="H96" s="75"/>
      <c r="I96" s="113">
        <v>2.92</v>
      </c>
      <c r="J96" s="104">
        <v>17697</v>
      </c>
      <c r="K96" s="76">
        <v>1.23</v>
      </c>
      <c r="L96" s="104">
        <f t="shared" si="0"/>
        <v>63560.545199999993</v>
      </c>
      <c r="M96" s="104"/>
      <c r="N96" s="104">
        <f t="shared" si="7"/>
        <v>63560.545199999993</v>
      </c>
      <c r="O96" s="104">
        <f t="shared" si="8"/>
        <v>6356.0545199999997</v>
      </c>
      <c r="P96" s="104"/>
      <c r="Q96" s="153"/>
      <c r="R96" s="153"/>
      <c r="S96" s="105"/>
      <c r="T96" s="153"/>
      <c r="U96" s="105"/>
      <c r="V96" s="105"/>
      <c r="W96" s="105"/>
      <c r="X96" s="105"/>
      <c r="Y96" s="105"/>
      <c r="Z96" s="105"/>
      <c r="AA96" s="105">
        <f t="shared" si="9"/>
        <v>69916.599719999998</v>
      </c>
      <c r="AB96" s="105">
        <f t="shared" si="10"/>
        <v>838.99919664000004</v>
      </c>
    </row>
    <row r="97" spans="1:28" s="147" customFormat="1" ht="26" x14ac:dyDescent="0.25">
      <c r="A97" s="77">
        <v>85</v>
      </c>
      <c r="B97" s="142" t="s">
        <v>283</v>
      </c>
      <c r="C97" s="142" t="s">
        <v>284</v>
      </c>
      <c r="D97" s="146" t="s">
        <v>349</v>
      </c>
      <c r="E97" s="77">
        <v>1.5</v>
      </c>
      <c r="F97" s="103"/>
      <c r="G97" s="77">
        <v>2</v>
      </c>
      <c r="H97" s="75"/>
      <c r="I97" s="113">
        <v>2.81</v>
      </c>
      <c r="J97" s="104">
        <v>17697</v>
      </c>
      <c r="K97" s="76">
        <v>1.23</v>
      </c>
      <c r="L97" s="104">
        <f t="shared" si="0"/>
        <v>91749.211649999997</v>
      </c>
      <c r="M97" s="104"/>
      <c r="N97" s="104">
        <f t="shared" si="7"/>
        <v>91749.211649999997</v>
      </c>
      <c r="O97" s="104">
        <f t="shared" si="8"/>
        <v>9174.9211649999997</v>
      </c>
      <c r="P97" s="104"/>
      <c r="Q97" s="153">
        <f>J97*30%*E97</f>
        <v>7963.65</v>
      </c>
      <c r="R97" s="153"/>
      <c r="S97" s="105"/>
      <c r="T97" s="153"/>
      <c r="U97" s="105"/>
      <c r="V97" s="105"/>
      <c r="W97" s="105"/>
      <c r="X97" s="105"/>
      <c r="Y97" s="105"/>
      <c r="Z97" s="105"/>
      <c r="AA97" s="105">
        <f t="shared" si="9"/>
        <v>108887.78281499998</v>
      </c>
      <c r="AB97" s="105">
        <f t="shared" si="10"/>
        <v>1306.6533937799998</v>
      </c>
    </row>
    <row r="98" spans="1:28" s="147" customFormat="1" ht="26" x14ac:dyDescent="0.25">
      <c r="A98" s="77">
        <v>86</v>
      </c>
      <c r="B98" s="142" t="s">
        <v>283</v>
      </c>
      <c r="C98" s="142" t="s">
        <v>285</v>
      </c>
      <c r="D98" s="146" t="s">
        <v>349</v>
      </c>
      <c r="E98" s="77">
        <v>1.5</v>
      </c>
      <c r="F98" s="103"/>
      <c r="G98" s="77">
        <v>2</v>
      </c>
      <c r="H98" s="75"/>
      <c r="I98" s="116">
        <v>2.81</v>
      </c>
      <c r="J98" s="104">
        <v>17697</v>
      </c>
      <c r="K98" s="76">
        <v>1.23</v>
      </c>
      <c r="L98" s="104">
        <f t="shared" si="0"/>
        <v>91749.211649999997</v>
      </c>
      <c r="M98" s="104"/>
      <c r="N98" s="104">
        <f t="shared" si="7"/>
        <v>91749.211649999997</v>
      </c>
      <c r="O98" s="104">
        <f t="shared" si="8"/>
        <v>9174.9211649999997</v>
      </c>
      <c r="P98" s="104"/>
      <c r="Q98" s="153">
        <f t="shared" ref="Q98:Q110" si="11">J98*30%*E98</f>
        <v>7963.65</v>
      </c>
      <c r="R98" s="153"/>
      <c r="S98" s="105"/>
      <c r="T98" s="153"/>
      <c r="U98" s="105"/>
      <c r="V98" s="105"/>
      <c r="W98" s="105"/>
      <c r="X98" s="105"/>
      <c r="Y98" s="105"/>
      <c r="Z98" s="105"/>
      <c r="AA98" s="105">
        <f t="shared" si="9"/>
        <v>108887.78281499998</v>
      </c>
      <c r="AB98" s="105">
        <f t="shared" si="10"/>
        <v>1306.6533937799998</v>
      </c>
    </row>
    <row r="99" spans="1:28" s="147" customFormat="1" ht="26" x14ac:dyDescent="0.25">
      <c r="A99" s="77">
        <v>87</v>
      </c>
      <c r="B99" s="142" t="s">
        <v>283</v>
      </c>
      <c r="C99" s="142" t="s">
        <v>286</v>
      </c>
      <c r="D99" s="146" t="s">
        <v>349</v>
      </c>
      <c r="E99" s="77">
        <v>1.5</v>
      </c>
      <c r="F99" s="103"/>
      <c r="G99" s="77">
        <v>2</v>
      </c>
      <c r="H99" s="75"/>
      <c r="I99" s="113">
        <v>2.81</v>
      </c>
      <c r="J99" s="104">
        <v>17697</v>
      </c>
      <c r="K99" s="76">
        <v>1.23</v>
      </c>
      <c r="L99" s="104">
        <f t="shared" si="0"/>
        <v>91749.211649999997</v>
      </c>
      <c r="M99" s="104"/>
      <c r="N99" s="104">
        <f t="shared" si="7"/>
        <v>91749.211649999997</v>
      </c>
      <c r="O99" s="104">
        <f t="shared" si="8"/>
        <v>9174.9211649999997</v>
      </c>
      <c r="P99" s="104"/>
      <c r="Q99" s="153">
        <f t="shared" si="11"/>
        <v>7963.65</v>
      </c>
      <c r="R99" s="153"/>
      <c r="S99" s="105"/>
      <c r="T99" s="153"/>
      <c r="U99" s="105"/>
      <c r="V99" s="105"/>
      <c r="W99" s="105"/>
      <c r="X99" s="105"/>
      <c r="Y99" s="105"/>
      <c r="Z99" s="105"/>
      <c r="AA99" s="105">
        <f t="shared" si="9"/>
        <v>108887.78281499998</v>
      </c>
      <c r="AB99" s="105">
        <f t="shared" si="10"/>
        <v>1306.6533937799998</v>
      </c>
    </row>
    <row r="100" spans="1:28" s="147" customFormat="1" ht="39" x14ac:dyDescent="0.25">
      <c r="A100" s="77">
        <v>88</v>
      </c>
      <c r="B100" s="142" t="s">
        <v>283</v>
      </c>
      <c r="C100" s="142" t="s">
        <v>287</v>
      </c>
      <c r="D100" s="146" t="s">
        <v>349</v>
      </c>
      <c r="E100" s="77">
        <v>1.5</v>
      </c>
      <c r="F100" s="103"/>
      <c r="G100" s="77">
        <v>2</v>
      </c>
      <c r="H100" s="75"/>
      <c r="I100" s="113">
        <v>2.81</v>
      </c>
      <c r="J100" s="104">
        <v>17697</v>
      </c>
      <c r="K100" s="76">
        <v>1.23</v>
      </c>
      <c r="L100" s="104">
        <f t="shared" si="0"/>
        <v>91749.211649999997</v>
      </c>
      <c r="M100" s="104"/>
      <c r="N100" s="104">
        <f t="shared" si="7"/>
        <v>91749.211649999997</v>
      </c>
      <c r="O100" s="104">
        <f t="shared" si="8"/>
        <v>9174.9211649999997</v>
      </c>
      <c r="P100" s="104"/>
      <c r="Q100" s="153">
        <f t="shared" si="11"/>
        <v>7963.65</v>
      </c>
      <c r="R100" s="153"/>
      <c r="S100" s="105"/>
      <c r="T100" s="153"/>
      <c r="U100" s="105"/>
      <c r="V100" s="105"/>
      <c r="W100" s="105"/>
      <c r="X100" s="105"/>
      <c r="Y100" s="105"/>
      <c r="Z100" s="105"/>
      <c r="AA100" s="105">
        <f t="shared" si="9"/>
        <v>108887.78281499998</v>
      </c>
      <c r="AB100" s="105">
        <f t="shared" si="10"/>
        <v>1306.6533937799998</v>
      </c>
    </row>
    <row r="101" spans="1:28" s="147" customFormat="1" ht="26" x14ac:dyDescent="0.25">
      <c r="A101" s="77">
        <v>89</v>
      </c>
      <c r="B101" s="142" t="s">
        <v>283</v>
      </c>
      <c r="C101" s="142" t="s">
        <v>288</v>
      </c>
      <c r="D101" s="146" t="s">
        <v>349</v>
      </c>
      <c r="E101" s="77">
        <v>1.5</v>
      </c>
      <c r="F101" s="103"/>
      <c r="G101" s="77">
        <v>2</v>
      </c>
      <c r="H101" s="75"/>
      <c r="I101" s="113">
        <v>2.81</v>
      </c>
      <c r="J101" s="104">
        <v>17697</v>
      </c>
      <c r="K101" s="76">
        <v>1.23</v>
      </c>
      <c r="L101" s="104">
        <f t="shared" si="0"/>
        <v>91749.211649999997</v>
      </c>
      <c r="M101" s="104"/>
      <c r="N101" s="104">
        <f t="shared" si="7"/>
        <v>91749.211649999997</v>
      </c>
      <c r="O101" s="104">
        <f t="shared" si="8"/>
        <v>9174.9211649999997</v>
      </c>
      <c r="P101" s="104"/>
      <c r="Q101" s="153">
        <f t="shared" si="11"/>
        <v>7963.65</v>
      </c>
      <c r="R101" s="153"/>
      <c r="S101" s="105"/>
      <c r="T101" s="153"/>
      <c r="U101" s="105"/>
      <c r="V101" s="105"/>
      <c r="W101" s="105"/>
      <c r="X101" s="105"/>
      <c r="Y101" s="105"/>
      <c r="Z101" s="105"/>
      <c r="AA101" s="105">
        <f t="shared" si="9"/>
        <v>108887.78281499998</v>
      </c>
      <c r="AB101" s="105">
        <f t="shared" si="10"/>
        <v>1306.6533937799998</v>
      </c>
    </row>
    <row r="102" spans="1:28" s="147" customFormat="1" ht="26" x14ac:dyDescent="0.25">
      <c r="A102" s="77">
        <v>90</v>
      </c>
      <c r="B102" s="142" t="s">
        <v>283</v>
      </c>
      <c r="C102" s="142" t="s">
        <v>289</v>
      </c>
      <c r="D102" s="146" t="s">
        <v>349</v>
      </c>
      <c r="E102" s="77">
        <v>1.5</v>
      </c>
      <c r="F102" s="103"/>
      <c r="G102" s="77">
        <v>2</v>
      </c>
      <c r="H102" s="75"/>
      <c r="I102" s="113">
        <v>2.81</v>
      </c>
      <c r="J102" s="104">
        <v>17697</v>
      </c>
      <c r="K102" s="76">
        <v>1.23</v>
      </c>
      <c r="L102" s="104">
        <f t="shared" si="0"/>
        <v>91749.211649999997</v>
      </c>
      <c r="M102" s="104"/>
      <c r="N102" s="104">
        <f t="shared" si="7"/>
        <v>91749.211649999997</v>
      </c>
      <c r="O102" s="104">
        <f t="shared" si="8"/>
        <v>9174.9211649999997</v>
      </c>
      <c r="P102" s="104"/>
      <c r="Q102" s="153">
        <f t="shared" si="11"/>
        <v>7963.65</v>
      </c>
      <c r="R102" s="153"/>
      <c r="S102" s="105"/>
      <c r="T102" s="153"/>
      <c r="U102" s="105"/>
      <c r="V102" s="105"/>
      <c r="W102" s="105"/>
      <c r="X102" s="105"/>
      <c r="Y102" s="105"/>
      <c r="Z102" s="105"/>
      <c r="AA102" s="105">
        <f t="shared" si="9"/>
        <v>108887.78281499998</v>
      </c>
      <c r="AB102" s="105">
        <f t="shared" si="10"/>
        <v>1306.6533937799998</v>
      </c>
    </row>
    <row r="103" spans="1:28" s="147" customFormat="1" ht="26" x14ac:dyDescent="0.25">
      <c r="A103" s="77">
        <v>91</v>
      </c>
      <c r="B103" s="142" t="s">
        <v>283</v>
      </c>
      <c r="C103" s="142" t="s">
        <v>290</v>
      </c>
      <c r="D103" s="146" t="s">
        <v>349</v>
      </c>
      <c r="E103" s="77">
        <v>1.5</v>
      </c>
      <c r="F103" s="103"/>
      <c r="G103" s="77">
        <v>2</v>
      </c>
      <c r="H103" s="75"/>
      <c r="I103" s="113">
        <v>2.81</v>
      </c>
      <c r="J103" s="104">
        <v>17697</v>
      </c>
      <c r="K103" s="76">
        <v>1.23</v>
      </c>
      <c r="L103" s="104">
        <f t="shared" si="0"/>
        <v>91749.211649999997</v>
      </c>
      <c r="M103" s="104"/>
      <c r="N103" s="104">
        <f t="shared" si="7"/>
        <v>91749.211649999997</v>
      </c>
      <c r="O103" s="104">
        <f t="shared" si="8"/>
        <v>9174.9211649999997</v>
      </c>
      <c r="P103" s="104"/>
      <c r="Q103" s="153">
        <f t="shared" si="11"/>
        <v>7963.65</v>
      </c>
      <c r="R103" s="153"/>
      <c r="S103" s="105"/>
      <c r="T103" s="153"/>
      <c r="U103" s="105"/>
      <c r="V103" s="105"/>
      <c r="W103" s="105"/>
      <c r="X103" s="105"/>
      <c r="Y103" s="105"/>
      <c r="Z103" s="105"/>
      <c r="AA103" s="105">
        <f t="shared" si="9"/>
        <v>108887.78281499998</v>
      </c>
      <c r="AB103" s="105">
        <f t="shared" si="10"/>
        <v>1306.6533937799998</v>
      </c>
    </row>
    <row r="104" spans="1:28" s="147" customFormat="1" ht="26" x14ac:dyDescent="0.25">
      <c r="A104" s="77">
        <v>92</v>
      </c>
      <c r="B104" s="142" t="s">
        <v>283</v>
      </c>
      <c r="C104" s="142" t="s">
        <v>291</v>
      </c>
      <c r="D104" s="146" t="s">
        <v>349</v>
      </c>
      <c r="E104" s="77">
        <v>1.5</v>
      </c>
      <c r="F104" s="103"/>
      <c r="G104" s="77">
        <v>2</v>
      </c>
      <c r="H104" s="75"/>
      <c r="I104" s="113">
        <v>2.81</v>
      </c>
      <c r="J104" s="104">
        <v>17697</v>
      </c>
      <c r="K104" s="76">
        <v>1.23</v>
      </c>
      <c r="L104" s="104">
        <f t="shared" si="0"/>
        <v>91749.211649999997</v>
      </c>
      <c r="M104" s="104"/>
      <c r="N104" s="104">
        <f t="shared" si="7"/>
        <v>91749.211649999997</v>
      </c>
      <c r="O104" s="104">
        <f t="shared" si="8"/>
        <v>9174.9211649999997</v>
      </c>
      <c r="P104" s="104"/>
      <c r="Q104" s="153">
        <f t="shared" si="11"/>
        <v>7963.65</v>
      </c>
      <c r="R104" s="153"/>
      <c r="S104" s="105"/>
      <c r="T104" s="153"/>
      <c r="U104" s="105"/>
      <c r="V104" s="105"/>
      <c r="W104" s="105"/>
      <c r="X104" s="105"/>
      <c r="Y104" s="105"/>
      <c r="Z104" s="105"/>
      <c r="AA104" s="105">
        <f t="shared" si="9"/>
        <v>108887.78281499998</v>
      </c>
      <c r="AB104" s="105">
        <f t="shared" si="10"/>
        <v>1306.6533937799998</v>
      </c>
    </row>
    <row r="105" spans="1:28" s="147" customFormat="1" ht="26" x14ac:dyDescent="0.25">
      <c r="A105" s="77">
        <v>93</v>
      </c>
      <c r="B105" s="142" t="s">
        <v>283</v>
      </c>
      <c r="C105" s="142" t="s">
        <v>275</v>
      </c>
      <c r="D105" s="146" t="s">
        <v>349</v>
      </c>
      <c r="E105" s="77">
        <v>1</v>
      </c>
      <c r="F105" s="103"/>
      <c r="G105" s="77">
        <v>2</v>
      </c>
      <c r="H105" s="75"/>
      <c r="I105" s="113">
        <v>2.8140000000000001</v>
      </c>
      <c r="J105" s="104">
        <v>17697</v>
      </c>
      <c r="K105" s="76">
        <v>1.23</v>
      </c>
      <c r="L105" s="104">
        <f t="shared" si="0"/>
        <v>61253.210339999998</v>
      </c>
      <c r="M105" s="104"/>
      <c r="N105" s="104">
        <f t="shared" si="7"/>
        <v>61253.210339999998</v>
      </c>
      <c r="O105" s="104">
        <f t="shared" si="8"/>
        <v>6125.3210340000005</v>
      </c>
      <c r="P105" s="104"/>
      <c r="Q105" s="153">
        <f t="shared" si="11"/>
        <v>5309.0999999999995</v>
      </c>
      <c r="R105" s="153"/>
      <c r="S105" s="105"/>
      <c r="T105" s="153"/>
      <c r="U105" s="105"/>
      <c r="V105" s="105"/>
      <c r="W105" s="105"/>
      <c r="X105" s="105"/>
      <c r="Y105" s="105"/>
      <c r="Z105" s="105"/>
      <c r="AA105" s="105">
        <f t="shared" si="9"/>
        <v>72687.631374000004</v>
      </c>
      <c r="AB105" s="105">
        <f t="shared" si="10"/>
        <v>872.25157648800007</v>
      </c>
    </row>
    <row r="106" spans="1:28" s="147" customFormat="1" ht="26" x14ac:dyDescent="0.25">
      <c r="A106" s="77">
        <v>94</v>
      </c>
      <c r="B106" s="142" t="s">
        <v>283</v>
      </c>
      <c r="C106" s="142" t="s">
        <v>292</v>
      </c>
      <c r="D106" s="146" t="s">
        <v>349</v>
      </c>
      <c r="E106" s="77">
        <v>0.5</v>
      </c>
      <c r="F106" s="103"/>
      <c r="G106" s="77">
        <v>2</v>
      </c>
      <c r="H106" s="75"/>
      <c r="I106" s="113">
        <v>2.8140000000000001</v>
      </c>
      <c r="J106" s="104">
        <v>17697</v>
      </c>
      <c r="K106" s="76">
        <v>1.23</v>
      </c>
      <c r="L106" s="104">
        <f t="shared" si="0"/>
        <v>30626.605169999999</v>
      </c>
      <c r="M106" s="104"/>
      <c r="N106" s="104">
        <f t="shared" si="7"/>
        <v>30626.605169999999</v>
      </c>
      <c r="O106" s="104">
        <f t="shared" si="8"/>
        <v>3062.6605170000003</v>
      </c>
      <c r="P106" s="104"/>
      <c r="Q106" s="153">
        <f t="shared" si="11"/>
        <v>2654.5499999999997</v>
      </c>
      <c r="R106" s="153"/>
      <c r="S106" s="105"/>
      <c r="T106" s="153"/>
      <c r="U106" s="105"/>
      <c r="V106" s="105"/>
      <c r="W106" s="105"/>
      <c r="X106" s="105"/>
      <c r="Y106" s="105"/>
      <c r="Z106" s="105"/>
      <c r="AA106" s="105">
        <f t="shared" si="9"/>
        <v>36343.815687000002</v>
      </c>
      <c r="AB106" s="105">
        <f t="shared" si="10"/>
        <v>436.12578824400003</v>
      </c>
    </row>
    <row r="107" spans="1:28" s="147" customFormat="1" ht="26" x14ac:dyDescent="0.25">
      <c r="A107" s="77">
        <v>95</v>
      </c>
      <c r="B107" s="142" t="s">
        <v>283</v>
      </c>
      <c r="C107" s="142" t="s">
        <v>293</v>
      </c>
      <c r="D107" s="146" t="s">
        <v>349</v>
      </c>
      <c r="E107" s="77">
        <v>1.5</v>
      </c>
      <c r="F107" s="103"/>
      <c r="G107" s="77">
        <v>2</v>
      </c>
      <c r="H107" s="75"/>
      <c r="I107" s="113">
        <v>2.8140000000000001</v>
      </c>
      <c r="J107" s="104">
        <v>17697</v>
      </c>
      <c r="K107" s="76">
        <v>1.23</v>
      </c>
      <c r="L107" s="104">
        <f t="shared" si="0"/>
        <v>91879.81551</v>
      </c>
      <c r="M107" s="104"/>
      <c r="N107" s="104">
        <f t="shared" si="7"/>
        <v>91879.81551</v>
      </c>
      <c r="O107" s="104">
        <f t="shared" si="8"/>
        <v>9187.9815510000008</v>
      </c>
      <c r="P107" s="104"/>
      <c r="Q107" s="153">
        <f t="shared" si="11"/>
        <v>7963.65</v>
      </c>
      <c r="R107" s="153"/>
      <c r="S107" s="105"/>
      <c r="T107" s="153"/>
      <c r="U107" s="105"/>
      <c r="V107" s="105"/>
      <c r="W107" s="105"/>
      <c r="X107" s="105"/>
      <c r="Y107" s="105"/>
      <c r="Z107" s="105"/>
      <c r="AA107" s="105">
        <f t="shared" si="9"/>
        <v>109031.447061</v>
      </c>
      <c r="AB107" s="105">
        <f t="shared" si="10"/>
        <v>1308.3773647319999</v>
      </c>
    </row>
    <row r="108" spans="1:28" s="147" customFormat="1" ht="26" x14ac:dyDescent="0.25">
      <c r="A108" s="77">
        <v>96</v>
      </c>
      <c r="B108" s="142" t="s">
        <v>283</v>
      </c>
      <c r="C108" s="142" t="s">
        <v>294</v>
      </c>
      <c r="D108" s="146" t="s">
        <v>349</v>
      </c>
      <c r="E108" s="77">
        <v>1.5</v>
      </c>
      <c r="F108" s="103"/>
      <c r="G108" s="77">
        <v>2</v>
      </c>
      <c r="H108" s="75"/>
      <c r="I108" s="113">
        <v>2.8140000000000001</v>
      </c>
      <c r="J108" s="104">
        <v>17697</v>
      </c>
      <c r="K108" s="76">
        <v>1.23</v>
      </c>
      <c r="L108" s="104">
        <f t="shared" si="0"/>
        <v>91879.81551</v>
      </c>
      <c r="M108" s="104"/>
      <c r="N108" s="104">
        <f t="shared" si="7"/>
        <v>91879.81551</v>
      </c>
      <c r="O108" s="104">
        <f t="shared" si="8"/>
        <v>9187.9815510000008</v>
      </c>
      <c r="P108" s="104"/>
      <c r="Q108" s="153">
        <f t="shared" si="11"/>
        <v>7963.65</v>
      </c>
      <c r="R108" s="153"/>
      <c r="S108" s="105"/>
      <c r="T108" s="153"/>
      <c r="U108" s="105"/>
      <c r="V108" s="105"/>
      <c r="W108" s="105"/>
      <c r="X108" s="105"/>
      <c r="Y108" s="105"/>
      <c r="Z108" s="105"/>
      <c r="AA108" s="105">
        <f t="shared" si="9"/>
        <v>109031.447061</v>
      </c>
      <c r="AB108" s="105">
        <f t="shared" si="10"/>
        <v>1308.3773647319999</v>
      </c>
    </row>
    <row r="109" spans="1:28" s="147" customFormat="1" ht="26" x14ac:dyDescent="0.25">
      <c r="A109" s="77">
        <v>97</v>
      </c>
      <c r="B109" s="142" t="s">
        <v>295</v>
      </c>
      <c r="C109" s="142" t="s">
        <v>296</v>
      </c>
      <c r="D109" s="146" t="s">
        <v>349</v>
      </c>
      <c r="E109" s="77">
        <v>1.5</v>
      </c>
      <c r="F109" s="103"/>
      <c r="G109" s="77">
        <v>2</v>
      </c>
      <c r="H109" s="75"/>
      <c r="I109" s="113">
        <v>2.81</v>
      </c>
      <c r="J109" s="104">
        <v>17697</v>
      </c>
      <c r="K109" s="76">
        <v>1.23</v>
      </c>
      <c r="L109" s="104">
        <f t="shared" si="0"/>
        <v>91749.211649999997</v>
      </c>
      <c r="M109" s="104"/>
      <c r="N109" s="104">
        <f t="shared" si="7"/>
        <v>91749.211649999997</v>
      </c>
      <c r="O109" s="104">
        <f t="shared" si="8"/>
        <v>9174.9211649999997</v>
      </c>
      <c r="P109" s="104"/>
      <c r="Q109" s="153">
        <f t="shared" si="11"/>
        <v>7963.65</v>
      </c>
      <c r="R109" s="153"/>
      <c r="S109" s="105"/>
      <c r="T109" s="153"/>
      <c r="U109" s="105"/>
      <c r="V109" s="105"/>
      <c r="W109" s="105"/>
      <c r="X109" s="105"/>
      <c r="Y109" s="105"/>
      <c r="Z109" s="105"/>
      <c r="AA109" s="105">
        <f t="shared" si="9"/>
        <v>108887.78281499998</v>
      </c>
      <c r="AB109" s="105">
        <f t="shared" si="10"/>
        <v>1306.6533937799998</v>
      </c>
    </row>
    <row r="110" spans="1:28" s="147" customFormat="1" ht="24" customHeight="1" x14ac:dyDescent="0.25">
      <c r="A110" s="77">
        <v>98</v>
      </c>
      <c r="B110" s="142" t="s">
        <v>295</v>
      </c>
      <c r="C110" s="142" t="s">
        <v>141</v>
      </c>
      <c r="D110" s="146" t="s">
        <v>349</v>
      </c>
      <c r="E110" s="77">
        <v>0.5</v>
      </c>
      <c r="F110" s="103"/>
      <c r="G110" s="77">
        <v>2</v>
      </c>
      <c r="H110" s="75"/>
      <c r="I110" s="113">
        <v>2.81</v>
      </c>
      <c r="J110" s="104">
        <v>17697</v>
      </c>
      <c r="K110" s="76">
        <v>1.23</v>
      </c>
      <c r="L110" s="104">
        <f t="shared" si="0"/>
        <v>30583.07055</v>
      </c>
      <c r="M110" s="104"/>
      <c r="N110" s="104">
        <f t="shared" si="7"/>
        <v>30583.07055</v>
      </c>
      <c r="O110" s="104">
        <f t="shared" si="8"/>
        <v>3058.3070550000002</v>
      </c>
      <c r="P110" s="104"/>
      <c r="Q110" s="153">
        <f t="shared" si="11"/>
        <v>2654.5499999999997</v>
      </c>
      <c r="R110" s="153"/>
      <c r="S110" s="105"/>
      <c r="T110" s="153"/>
      <c r="U110" s="105"/>
      <c r="V110" s="105"/>
      <c r="W110" s="105"/>
      <c r="X110" s="105"/>
      <c r="Y110" s="105"/>
      <c r="Z110" s="105"/>
      <c r="AA110" s="105">
        <f t="shared" si="9"/>
        <v>36295.927605000004</v>
      </c>
      <c r="AB110" s="105">
        <f t="shared" si="10"/>
        <v>435.55113126000003</v>
      </c>
    </row>
    <row r="111" spans="1:28" s="147" customFormat="1" ht="39" x14ac:dyDescent="0.25">
      <c r="A111" s="77">
        <v>99</v>
      </c>
      <c r="B111" s="142" t="s">
        <v>297</v>
      </c>
      <c r="C111" s="142" t="s">
        <v>281</v>
      </c>
      <c r="D111" s="146" t="s">
        <v>349</v>
      </c>
      <c r="E111" s="77">
        <v>0.5</v>
      </c>
      <c r="F111" s="103"/>
      <c r="G111" s="77">
        <v>2</v>
      </c>
      <c r="H111" s="75"/>
      <c r="I111" s="113">
        <v>2.81</v>
      </c>
      <c r="J111" s="104">
        <v>17697</v>
      </c>
      <c r="K111" s="76">
        <v>1.23</v>
      </c>
      <c r="L111" s="104">
        <f t="shared" si="0"/>
        <v>30583.07055</v>
      </c>
      <c r="M111" s="104"/>
      <c r="N111" s="104">
        <f t="shared" si="7"/>
        <v>30583.07055</v>
      </c>
      <c r="O111" s="104">
        <f t="shared" si="8"/>
        <v>3058.3070550000002</v>
      </c>
      <c r="P111" s="104"/>
      <c r="Q111" s="153"/>
      <c r="R111" s="153"/>
      <c r="S111" s="105"/>
      <c r="T111" s="153"/>
      <c r="U111" s="105"/>
      <c r="V111" s="105"/>
      <c r="W111" s="105"/>
      <c r="X111" s="105"/>
      <c r="Y111" s="105"/>
      <c r="Z111" s="105"/>
      <c r="AA111" s="105">
        <f t="shared" si="9"/>
        <v>33641.377605000001</v>
      </c>
      <c r="AB111" s="105">
        <f t="shared" si="10"/>
        <v>403.69653126000003</v>
      </c>
    </row>
    <row r="112" spans="1:28" s="147" customFormat="1" ht="39" x14ac:dyDescent="0.25">
      <c r="A112" s="77">
        <v>100</v>
      </c>
      <c r="B112" s="142" t="s">
        <v>297</v>
      </c>
      <c r="C112" s="142" t="s">
        <v>298</v>
      </c>
      <c r="D112" s="146" t="s">
        <v>349</v>
      </c>
      <c r="E112" s="77">
        <v>1.5</v>
      </c>
      <c r="F112" s="103"/>
      <c r="G112" s="77">
        <v>2</v>
      </c>
      <c r="H112" s="75"/>
      <c r="I112" s="113">
        <v>2.81</v>
      </c>
      <c r="J112" s="104">
        <v>17697</v>
      </c>
      <c r="K112" s="76">
        <v>1.23</v>
      </c>
      <c r="L112" s="104">
        <f t="shared" si="0"/>
        <v>91749.211649999997</v>
      </c>
      <c r="M112" s="104"/>
      <c r="N112" s="104">
        <f t="shared" si="7"/>
        <v>91749.211649999997</v>
      </c>
      <c r="O112" s="104">
        <f t="shared" si="8"/>
        <v>9174.9211649999997</v>
      </c>
      <c r="P112" s="104"/>
      <c r="Q112" s="153"/>
      <c r="R112" s="153"/>
      <c r="S112" s="105"/>
      <c r="T112" s="153"/>
      <c r="U112" s="105"/>
      <c r="V112" s="105"/>
      <c r="W112" s="105"/>
      <c r="X112" s="105"/>
      <c r="Y112" s="105"/>
      <c r="Z112" s="105"/>
      <c r="AA112" s="105">
        <f t="shared" si="9"/>
        <v>100924.13281499999</v>
      </c>
      <c r="AB112" s="105">
        <f t="shared" si="10"/>
        <v>1211.0895937799999</v>
      </c>
    </row>
    <row r="113" spans="1:28" s="147" customFormat="1" ht="39" x14ac:dyDescent="0.25">
      <c r="A113" s="77">
        <v>101</v>
      </c>
      <c r="B113" s="142" t="s">
        <v>297</v>
      </c>
      <c r="C113" s="142" t="s">
        <v>299</v>
      </c>
      <c r="D113" s="146" t="s">
        <v>349</v>
      </c>
      <c r="E113" s="77">
        <v>1.5</v>
      </c>
      <c r="F113" s="103"/>
      <c r="G113" s="78">
        <v>2</v>
      </c>
      <c r="H113" s="75"/>
      <c r="I113" s="113">
        <v>2.81</v>
      </c>
      <c r="J113" s="104">
        <v>17697</v>
      </c>
      <c r="K113" s="76">
        <v>1.23</v>
      </c>
      <c r="L113" s="104">
        <f t="shared" si="0"/>
        <v>91749.211649999997</v>
      </c>
      <c r="M113" s="104"/>
      <c r="N113" s="104">
        <f t="shared" si="7"/>
        <v>91749.211649999997</v>
      </c>
      <c r="O113" s="104">
        <f t="shared" si="8"/>
        <v>9174.9211649999997</v>
      </c>
      <c r="P113" s="104"/>
      <c r="Q113" s="153"/>
      <c r="R113" s="153"/>
      <c r="S113" s="105"/>
      <c r="T113" s="153"/>
      <c r="U113" s="105"/>
      <c r="V113" s="105"/>
      <c r="W113" s="105"/>
      <c r="X113" s="105"/>
      <c r="Y113" s="105"/>
      <c r="Z113" s="105"/>
      <c r="AA113" s="105">
        <f t="shared" si="9"/>
        <v>100924.13281499999</v>
      </c>
      <c r="AB113" s="105">
        <f t="shared" si="10"/>
        <v>1211.0895937799999</v>
      </c>
    </row>
    <row r="114" spans="1:28" s="147" customFormat="1" ht="39" x14ac:dyDescent="0.25">
      <c r="A114" s="77">
        <v>102</v>
      </c>
      <c r="B114" s="142" t="s">
        <v>297</v>
      </c>
      <c r="C114" s="142" t="s">
        <v>300</v>
      </c>
      <c r="D114" s="146" t="s">
        <v>349</v>
      </c>
      <c r="E114" s="77">
        <v>0.5</v>
      </c>
      <c r="F114" s="103"/>
      <c r="G114" s="77">
        <v>2</v>
      </c>
      <c r="H114" s="75"/>
      <c r="I114" s="113">
        <v>2.81</v>
      </c>
      <c r="J114" s="104">
        <v>17697</v>
      </c>
      <c r="K114" s="76">
        <v>1.23</v>
      </c>
      <c r="L114" s="104">
        <f t="shared" si="0"/>
        <v>30583.07055</v>
      </c>
      <c r="M114" s="104"/>
      <c r="N114" s="104">
        <f t="shared" si="7"/>
        <v>30583.07055</v>
      </c>
      <c r="O114" s="104">
        <f t="shared" si="8"/>
        <v>3058.3070550000002</v>
      </c>
      <c r="P114" s="104"/>
      <c r="Q114" s="153"/>
      <c r="R114" s="153"/>
      <c r="S114" s="105"/>
      <c r="T114" s="153"/>
      <c r="U114" s="105"/>
      <c r="V114" s="105"/>
      <c r="W114" s="105"/>
      <c r="X114" s="105"/>
      <c r="Y114" s="105"/>
      <c r="Z114" s="105"/>
      <c r="AA114" s="105">
        <f t="shared" si="9"/>
        <v>33641.377605000001</v>
      </c>
      <c r="AB114" s="105">
        <f t="shared" si="10"/>
        <v>403.69653126000003</v>
      </c>
    </row>
    <row r="115" spans="1:28" s="147" customFormat="1" ht="13" x14ac:dyDescent="0.25">
      <c r="A115" s="77">
        <v>103</v>
      </c>
      <c r="B115" s="142" t="s">
        <v>301</v>
      </c>
      <c r="C115" s="142" t="s">
        <v>302</v>
      </c>
      <c r="D115" s="146" t="s">
        <v>349</v>
      </c>
      <c r="E115" s="77">
        <v>1</v>
      </c>
      <c r="F115" s="103"/>
      <c r="G115" s="77">
        <v>1</v>
      </c>
      <c r="H115" s="75"/>
      <c r="I115" s="116">
        <v>2.77</v>
      </c>
      <c r="J115" s="104">
        <v>17697</v>
      </c>
      <c r="K115" s="76">
        <v>1.23</v>
      </c>
      <c r="L115" s="104">
        <f t="shared" si="0"/>
        <v>60295.448700000001</v>
      </c>
      <c r="M115" s="104"/>
      <c r="N115" s="104">
        <f t="shared" si="7"/>
        <v>60295.448700000001</v>
      </c>
      <c r="O115" s="104">
        <f t="shared" si="8"/>
        <v>6029.5448700000006</v>
      </c>
      <c r="P115" s="104"/>
      <c r="Q115" s="153"/>
      <c r="R115" s="153"/>
      <c r="S115" s="105"/>
      <c r="T115" s="153"/>
      <c r="U115" s="105"/>
      <c r="V115" s="105"/>
      <c r="W115" s="105"/>
      <c r="X115" s="105"/>
      <c r="Y115" s="105"/>
      <c r="Z115" s="105"/>
      <c r="AA115" s="105">
        <f t="shared" si="9"/>
        <v>66324.993570000006</v>
      </c>
      <c r="AB115" s="105">
        <f t="shared" si="10"/>
        <v>795.89992284000016</v>
      </c>
    </row>
    <row r="116" spans="1:28" s="147" customFormat="1" ht="26" x14ac:dyDescent="0.25">
      <c r="A116" s="77">
        <v>104</v>
      </c>
      <c r="B116" s="142" t="s">
        <v>303</v>
      </c>
      <c r="C116" s="142" t="s">
        <v>302</v>
      </c>
      <c r="D116" s="146" t="s">
        <v>349</v>
      </c>
      <c r="E116" s="77">
        <v>0.5</v>
      </c>
      <c r="F116" s="103"/>
      <c r="G116" s="77">
        <v>1</v>
      </c>
      <c r="H116" s="75"/>
      <c r="I116" s="113">
        <v>2.77</v>
      </c>
      <c r="J116" s="104">
        <v>17697</v>
      </c>
      <c r="K116" s="76">
        <v>1.23</v>
      </c>
      <c r="L116" s="104">
        <f t="shared" si="0"/>
        <v>30147.72435</v>
      </c>
      <c r="M116" s="104"/>
      <c r="N116" s="104">
        <f t="shared" si="7"/>
        <v>30147.72435</v>
      </c>
      <c r="O116" s="104">
        <f t="shared" si="8"/>
        <v>3014.7724350000003</v>
      </c>
      <c r="P116" s="104"/>
      <c r="Q116" s="153">
        <f>J116*30%*E116</f>
        <v>2654.5499999999997</v>
      </c>
      <c r="R116" s="153"/>
      <c r="S116" s="105"/>
      <c r="T116" s="153"/>
      <c r="U116" s="105"/>
      <c r="V116" s="105"/>
      <c r="W116" s="105"/>
      <c r="X116" s="105"/>
      <c r="Y116" s="105"/>
      <c r="Z116" s="105"/>
      <c r="AA116" s="105">
        <f t="shared" si="9"/>
        <v>35817.046785000006</v>
      </c>
      <c r="AB116" s="105">
        <f t="shared" si="10"/>
        <v>429.80456142000003</v>
      </c>
    </row>
    <row r="117" spans="1:28" s="147" customFormat="1" ht="26" x14ac:dyDescent="0.25">
      <c r="A117" s="77">
        <v>105</v>
      </c>
      <c r="B117" s="142" t="s">
        <v>303</v>
      </c>
      <c r="C117" s="142" t="s">
        <v>279</v>
      </c>
      <c r="D117" s="146" t="s">
        <v>350</v>
      </c>
      <c r="E117" s="103">
        <v>0.5</v>
      </c>
      <c r="F117" s="103"/>
      <c r="G117" s="77">
        <v>1</v>
      </c>
      <c r="H117" s="75"/>
      <c r="I117" s="113">
        <v>2.77</v>
      </c>
      <c r="J117" s="104">
        <v>17697</v>
      </c>
      <c r="K117" s="76">
        <v>1.23</v>
      </c>
      <c r="L117" s="104">
        <f>(I117*17697*E117)*K117</f>
        <v>30147.72435</v>
      </c>
      <c r="M117" s="104"/>
      <c r="N117" s="104">
        <f>L117+M117</f>
        <v>30147.72435</v>
      </c>
      <c r="O117" s="104">
        <f>N117*10%</f>
        <v>3014.7724350000003</v>
      </c>
      <c r="P117" s="104"/>
      <c r="Q117" s="153">
        <f>J117*30%*E117</f>
        <v>2654.5499999999997</v>
      </c>
      <c r="R117" s="153"/>
      <c r="S117" s="105"/>
      <c r="T117" s="153"/>
      <c r="U117" s="105"/>
      <c r="V117" s="105"/>
      <c r="W117" s="105"/>
      <c r="X117" s="105"/>
      <c r="Y117" s="105"/>
      <c r="Z117" s="105"/>
      <c r="AA117" s="105">
        <f>SUM(N117:Z117)</f>
        <v>35817.046785000006</v>
      </c>
      <c r="AB117" s="105">
        <f>AA117*12/1000</f>
        <v>429.80456142000003</v>
      </c>
    </row>
    <row r="118" spans="1:28" s="147" customFormat="1" ht="26" x14ac:dyDescent="0.25">
      <c r="A118" s="77">
        <v>106</v>
      </c>
      <c r="B118" s="142" t="s">
        <v>304</v>
      </c>
      <c r="C118" s="142" t="s">
        <v>305</v>
      </c>
      <c r="D118" s="146" t="s">
        <v>349</v>
      </c>
      <c r="E118" s="77">
        <v>1</v>
      </c>
      <c r="F118" s="103"/>
      <c r="G118" s="77">
        <v>1</v>
      </c>
      <c r="H118" s="75"/>
      <c r="I118" s="113">
        <v>2.77</v>
      </c>
      <c r="J118" s="104">
        <v>17697</v>
      </c>
      <c r="K118" s="76">
        <v>1.23</v>
      </c>
      <c r="L118" s="104">
        <f t="shared" si="0"/>
        <v>60295.448700000001</v>
      </c>
      <c r="M118" s="104"/>
      <c r="N118" s="104">
        <f t="shared" si="7"/>
        <v>60295.448700000001</v>
      </c>
      <c r="O118" s="104">
        <f t="shared" si="8"/>
        <v>6029.5448700000006</v>
      </c>
      <c r="P118" s="104"/>
      <c r="Q118" s="153"/>
      <c r="R118" s="153"/>
      <c r="S118" s="105"/>
      <c r="T118" s="105">
        <f t="shared" ref="T118:T123" si="12">N118/20.42/8*243.33/2/3</f>
        <v>14968.669943857125</v>
      </c>
      <c r="U118" s="105"/>
      <c r="V118" s="105"/>
      <c r="W118" s="105"/>
      <c r="X118" s="105"/>
      <c r="Y118" s="105"/>
      <c r="Z118" s="105"/>
      <c r="AA118" s="105">
        <f t="shared" si="9"/>
        <v>81293.663513857129</v>
      </c>
      <c r="AB118" s="105">
        <f t="shared" si="10"/>
        <v>975.52396216628563</v>
      </c>
    </row>
    <row r="119" spans="1:28" s="147" customFormat="1" ht="26" x14ac:dyDescent="0.25">
      <c r="A119" s="77">
        <v>107</v>
      </c>
      <c r="B119" s="142" t="s">
        <v>304</v>
      </c>
      <c r="C119" s="142" t="s">
        <v>306</v>
      </c>
      <c r="D119" s="146" t="s">
        <v>349</v>
      </c>
      <c r="E119" s="77">
        <v>1</v>
      </c>
      <c r="F119" s="103"/>
      <c r="G119" s="77">
        <v>1</v>
      </c>
      <c r="H119" s="75"/>
      <c r="I119" s="113">
        <v>2.77</v>
      </c>
      <c r="J119" s="104">
        <v>17697</v>
      </c>
      <c r="K119" s="76">
        <v>1.23</v>
      </c>
      <c r="L119" s="104">
        <f t="shared" si="0"/>
        <v>60295.448700000001</v>
      </c>
      <c r="M119" s="104"/>
      <c r="N119" s="104">
        <f t="shared" si="7"/>
        <v>60295.448700000001</v>
      </c>
      <c r="O119" s="104">
        <f t="shared" si="8"/>
        <v>6029.5448700000006</v>
      </c>
      <c r="P119" s="104"/>
      <c r="Q119" s="153"/>
      <c r="R119" s="153"/>
      <c r="S119" s="105"/>
      <c r="T119" s="105">
        <f t="shared" si="12"/>
        <v>14968.669943857125</v>
      </c>
      <c r="U119" s="105"/>
      <c r="V119" s="105"/>
      <c r="W119" s="105"/>
      <c r="X119" s="105"/>
      <c r="Y119" s="105"/>
      <c r="Z119" s="105"/>
      <c r="AA119" s="105">
        <f t="shared" si="9"/>
        <v>81293.663513857129</v>
      </c>
      <c r="AB119" s="105">
        <f t="shared" si="10"/>
        <v>975.52396216628563</v>
      </c>
    </row>
    <row r="120" spans="1:28" s="147" customFormat="1" ht="26" x14ac:dyDescent="0.25">
      <c r="A120" s="77">
        <v>108</v>
      </c>
      <c r="B120" s="142" t="s">
        <v>304</v>
      </c>
      <c r="C120" s="142" t="s">
        <v>307</v>
      </c>
      <c r="D120" s="146" t="s">
        <v>349</v>
      </c>
      <c r="E120" s="77">
        <v>1</v>
      </c>
      <c r="F120" s="103"/>
      <c r="G120" s="77">
        <v>1</v>
      </c>
      <c r="H120" s="75"/>
      <c r="I120" s="113">
        <v>2.77</v>
      </c>
      <c r="J120" s="104">
        <v>17697</v>
      </c>
      <c r="K120" s="76">
        <v>1.23</v>
      </c>
      <c r="L120" s="104">
        <f t="shared" si="0"/>
        <v>60295.448700000001</v>
      </c>
      <c r="M120" s="104"/>
      <c r="N120" s="104">
        <f t="shared" si="7"/>
        <v>60295.448700000001</v>
      </c>
      <c r="O120" s="104">
        <f t="shared" si="8"/>
        <v>6029.5448700000006</v>
      </c>
      <c r="P120" s="104"/>
      <c r="Q120" s="153"/>
      <c r="R120" s="153"/>
      <c r="S120" s="105"/>
      <c r="T120" s="105">
        <f t="shared" si="12"/>
        <v>14968.669943857125</v>
      </c>
      <c r="U120" s="105"/>
      <c r="V120" s="105"/>
      <c r="W120" s="105"/>
      <c r="X120" s="105"/>
      <c r="Y120" s="105"/>
      <c r="Z120" s="105"/>
      <c r="AA120" s="105">
        <f t="shared" si="9"/>
        <v>81293.663513857129</v>
      </c>
      <c r="AB120" s="105">
        <f t="shared" si="10"/>
        <v>975.52396216628563</v>
      </c>
    </row>
    <row r="121" spans="1:28" s="147" customFormat="1" ht="13" x14ac:dyDescent="0.25">
      <c r="A121" s="77">
        <v>109</v>
      </c>
      <c r="B121" s="142" t="s">
        <v>304</v>
      </c>
      <c r="C121" s="142" t="s">
        <v>308</v>
      </c>
      <c r="D121" s="146" t="s">
        <v>349</v>
      </c>
      <c r="E121" s="77">
        <v>1</v>
      </c>
      <c r="F121" s="103"/>
      <c r="G121" s="77">
        <v>1</v>
      </c>
      <c r="H121" s="75"/>
      <c r="I121" s="113">
        <v>2.77</v>
      </c>
      <c r="J121" s="104">
        <v>17697</v>
      </c>
      <c r="K121" s="76">
        <v>1.23</v>
      </c>
      <c r="L121" s="104">
        <f t="shared" si="0"/>
        <v>60295.448700000001</v>
      </c>
      <c r="M121" s="104"/>
      <c r="N121" s="104">
        <f t="shared" si="7"/>
        <v>60295.448700000001</v>
      </c>
      <c r="O121" s="104">
        <f t="shared" si="8"/>
        <v>6029.5448700000006</v>
      </c>
      <c r="P121" s="104"/>
      <c r="Q121" s="153"/>
      <c r="R121" s="153"/>
      <c r="S121" s="105"/>
      <c r="T121" s="105">
        <f t="shared" si="12"/>
        <v>14968.669943857125</v>
      </c>
      <c r="U121" s="105"/>
      <c r="V121" s="105"/>
      <c r="W121" s="105"/>
      <c r="X121" s="105"/>
      <c r="Y121" s="105"/>
      <c r="Z121" s="105"/>
      <c r="AA121" s="105">
        <f t="shared" si="9"/>
        <v>81293.663513857129</v>
      </c>
      <c r="AB121" s="105">
        <f t="shared" si="10"/>
        <v>975.52396216628563</v>
      </c>
    </row>
    <row r="122" spans="1:28" s="147" customFormat="1" ht="13" x14ac:dyDescent="0.25">
      <c r="A122" s="77">
        <v>110</v>
      </c>
      <c r="B122" s="142" t="s">
        <v>304</v>
      </c>
      <c r="C122" s="142" t="s">
        <v>309</v>
      </c>
      <c r="D122" s="146" t="s">
        <v>349</v>
      </c>
      <c r="E122" s="77">
        <v>1</v>
      </c>
      <c r="F122" s="103"/>
      <c r="G122" s="77">
        <v>1</v>
      </c>
      <c r="H122" s="75"/>
      <c r="I122" s="113">
        <v>2.77</v>
      </c>
      <c r="J122" s="104">
        <v>17697</v>
      </c>
      <c r="K122" s="76">
        <v>1.23</v>
      </c>
      <c r="L122" s="104">
        <f t="shared" si="0"/>
        <v>60295.448700000001</v>
      </c>
      <c r="M122" s="104"/>
      <c r="N122" s="104">
        <f t="shared" si="7"/>
        <v>60295.448700000001</v>
      </c>
      <c r="O122" s="104">
        <f t="shared" si="8"/>
        <v>6029.5448700000006</v>
      </c>
      <c r="P122" s="104"/>
      <c r="Q122" s="153"/>
      <c r="R122" s="153"/>
      <c r="S122" s="105"/>
      <c r="T122" s="105">
        <f t="shared" si="12"/>
        <v>14968.669943857125</v>
      </c>
      <c r="U122" s="105"/>
      <c r="V122" s="105"/>
      <c r="W122" s="105"/>
      <c r="X122" s="105"/>
      <c r="Y122" s="105"/>
      <c r="Z122" s="105"/>
      <c r="AA122" s="105">
        <f t="shared" si="9"/>
        <v>81293.663513857129</v>
      </c>
      <c r="AB122" s="105">
        <f t="shared" si="10"/>
        <v>975.52396216628563</v>
      </c>
    </row>
    <row r="123" spans="1:28" s="147" customFormat="1" ht="13" x14ac:dyDescent="0.25">
      <c r="A123" s="77">
        <v>111</v>
      </c>
      <c r="B123" s="142" t="s">
        <v>304</v>
      </c>
      <c r="C123" s="142" t="s">
        <v>310</v>
      </c>
      <c r="D123" s="146" t="s">
        <v>349</v>
      </c>
      <c r="E123" s="77">
        <v>1</v>
      </c>
      <c r="F123" s="103"/>
      <c r="G123" s="77">
        <v>1</v>
      </c>
      <c r="H123" s="75"/>
      <c r="I123" s="113">
        <v>2.77</v>
      </c>
      <c r="J123" s="104">
        <v>17697</v>
      </c>
      <c r="K123" s="76">
        <v>1.23</v>
      </c>
      <c r="L123" s="104">
        <f t="shared" si="0"/>
        <v>60295.448700000001</v>
      </c>
      <c r="M123" s="104"/>
      <c r="N123" s="104">
        <f t="shared" si="7"/>
        <v>60295.448700000001</v>
      </c>
      <c r="O123" s="104">
        <f t="shared" si="8"/>
        <v>6029.5448700000006</v>
      </c>
      <c r="P123" s="104"/>
      <c r="Q123" s="153"/>
      <c r="R123" s="153"/>
      <c r="S123" s="105"/>
      <c r="T123" s="105">
        <f t="shared" si="12"/>
        <v>14968.669943857125</v>
      </c>
      <c r="U123" s="105"/>
      <c r="V123" s="105"/>
      <c r="W123" s="105"/>
      <c r="X123" s="105"/>
      <c r="Y123" s="105"/>
      <c r="Z123" s="105"/>
      <c r="AA123" s="105">
        <f t="shared" si="9"/>
        <v>81293.663513857129</v>
      </c>
      <c r="AB123" s="105">
        <f t="shared" si="10"/>
        <v>975.52396216628563</v>
      </c>
    </row>
    <row r="124" spans="1:28" s="147" customFormat="1" ht="26" x14ac:dyDescent="0.25">
      <c r="A124" s="77">
        <v>112</v>
      </c>
      <c r="B124" s="142" t="s">
        <v>311</v>
      </c>
      <c r="C124" s="142" t="s">
        <v>272</v>
      </c>
      <c r="D124" s="146" t="s">
        <v>349</v>
      </c>
      <c r="E124" s="77">
        <v>0.5</v>
      </c>
      <c r="F124" s="103"/>
      <c r="G124" s="77">
        <v>1</v>
      </c>
      <c r="H124" s="75"/>
      <c r="I124" s="113">
        <v>2.77</v>
      </c>
      <c r="J124" s="104">
        <v>17697</v>
      </c>
      <c r="K124" s="76">
        <v>1.23</v>
      </c>
      <c r="L124" s="104">
        <f t="shared" si="0"/>
        <v>30147.72435</v>
      </c>
      <c r="M124" s="104"/>
      <c r="N124" s="104">
        <f t="shared" si="7"/>
        <v>30147.72435</v>
      </c>
      <c r="O124" s="104">
        <f t="shared" si="8"/>
        <v>3014.7724350000003</v>
      </c>
      <c r="P124" s="104"/>
      <c r="Q124" s="155"/>
      <c r="R124" s="153"/>
      <c r="S124" s="105"/>
      <c r="T124" s="153"/>
      <c r="U124" s="105"/>
      <c r="V124" s="105"/>
      <c r="W124" s="105"/>
      <c r="X124" s="105"/>
      <c r="Y124" s="105"/>
      <c r="Z124" s="105"/>
      <c r="AA124" s="105">
        <f t="shared" si="9"/>
        <v>33162.496785000003</v>
      </c>
      <c r="AB124" s="105">
        <f t="shared" si="10"/>
        <v>397.94996142000008</v>
      </c>
    </row>
    <row r="125" spans="1:28" s="147" customFormat="1" ht="13" x14ac:dyDescent="0.25">
      <c r="A125" s="77">
        <v>113</v>
      </c>
      <c r="B125" s="142" t="s">
        <v>311</v>
      </c>
      <c r="C125" s="142" t="s">
        <v>292</v>
      </c>
      <c r="D125" s="146" t="s">
        <v>349</v>
      </c>
      <c r="E125" s="77">
        <v>1</v>
      </c>
      <c r="F125" s="103"/>
      <c r="G125" s="77">
        <v>1</v>
      </c>
      <c r="H125" s="75"/>
      <c r="I125" s="113">
        <v>2.77</v>
      </c>
      <c r="J125" s="104">
        <v>17697</v>
      </c>
      <c r="K125" s="76">
        <v>1.23</v>
      </c>
      <c r="L125" s="104">
        <f t="shared" si="0"/>
        <v>60295.448700000001</v>
      </c>
      <c r="M125" s="104"/>
      <c r="N125" s="104">
        <f t="shared" si="7"/>
        <v>60295.448700000001</v>
      </c>
      <c r="O125" s="104">
        <f t="shared" si="8"/>
        <v>6029.5448700000006</v>
      </c>
      <c r="P125" s="104"/>
      <c r="Q125" s="153"/>
      <c r="R125" s="153"/>
      <c r="S125" s="105"/>
      <c r="T125" s="153"/>
      <c r="U125" s="105"/>
      <c r="V125" s="105"/>
      <c r="W125" s="105"/>
      <c r="X125" s="105"/>
      <c r="Y125" s="105"/>
      <c r="Z125" s="105"/>
      <c r="AA125" s="105">
        <f t="shared" si="9"/>
        <v>66324.993570000006</v>
      </c>
      <c r="AB125" s="105">
        <f t="shared" si="10"/>
        <v>795.89992284000016</v>
      </c>
    </row>
    <row r="126" spans="1:28" s="147" customFormat="1" ht="26" x14ac:dyDescent="0.25">
      <c r="A126" s="77">
        <v>114</v>
      </c>
      <c r="B126" s="142" t="s">
        <v>311</v>
      </c>
      <c r="C126" s="142" t="s">
        <v>312</v>
      </c>
      <c r="D126" s="146" t="s">
        <v>349</v>
      </c>
      <c r="E126" s="77">
        <v>1.5</v>
      </c>
      <c r="F126" s="103"/>
      <c r="G126" s="77">
        <v>1</v>
      </c>
      <c r="H126" s="75"/>
      <c r="I126" s="113">
        <v>2.77</v>
      </c>
      <c r="J126" s="104">
        <v>17697</v>
      </c>
      <c r="K126" s="76">
        <v>1.23</v>
      </c>
      <c r="L126" s="104">
        <f t="shared" si="0"/>
        <v>90443.173049999998</v>
      </c>
      <c r="M126" s="104"/>
      <c r="N126" s="104">
        <f t="shared" si="7"/>
        <v>90443.173049999998</v>
      </c>
      <c r="O126" s="104">
        <f t="shared" si="8"/>
        <v>9044.3173050000005</v>
      </c>
      <c r="P126" s="104"/>
      <c r="Q126" s="153"/>
      <c r="R126" s="153"/>
      <c r="S126" s="105"/>
      <c r="T126" s="153"/>
      <c r="U126" s="105"/>
      <c r="V126" s="105"/>
      <c r="W126" s="105"/>
      <c r="X126" s="105"/>
      <c r="Y126" s="105"/>
      <c r="Z126" s="105"/>
      <c r="AA126" s="105">
        <f t="shared" si="9"/>
        <v>99487.490355000002</v>
      </c>
      <c r="AB126" s="105">
        <f t="shared" si="10"/>
        <v>1193.84988426</v>
      </c>
    </row>
    <row r="127" spans="1:28" s="147" customFormat="1" ht="13" x14ac:dyDescent="0.25">
      <c r="A127" s="77">
        <v>115</v>
      </c>
      <c r="B127" s="142" t="s">
        <v>311</v>
      </c>
      <c r="C127" s="142" t="s">
        <v>313</v>
      </c>
      <c r="D127" s="146" t="s">
        <v>349</v>
      </c>
      <c r="E127" s="77">
        <v>0.5</v>
      </c>
      <c r="F127" s="103"/>
      <c r="G127" s="77">
        <v>1</v>
      </c>
      <c r="H127" s="75"/>
      <c r="I127" s="113">
        <v>2.77</v>
      </c>
      <c r="J127" s="104">
        <v>17697</v>
      </c>
      <c r="K127" s="76">
        <v>1.23</v>
      </c>
      <c r="L127" s="104">
        <f t="shared" si="0"/>
        <v>30147.72435</v>
      </c>
      <c r="M127" s="104"/>
      <c r="N127" s="104">
        <f t="shared" si="7"/>
        <v>30147.72435</v>
      </c>
      <c r="O127" s="104">
        <f t="shared" si="8"/>
        <v>3014.7724350000003</v>
      </c>
      <c r="P127" s="104"/>
      <c r="Q127" s="153"/>
      <c r="R127" s="153"/>
      <c r="S127" s="105"/>
      <c r="T127" s="153"/>
      <c r="U127" s="105"/>
      <c r="V127" s="105"/>
      <c r="W127" s="105"/>
      <c r="X127" s="105"/>
      <c r="Y127" s="105"/>
      <c r="Z127" s="105"/>
      <c r="AA127" s="105">
        <f t="shared" si="9"/>
        <v>33162.496785000003</v>
      </c>
      <c r="AB127" s="105">
        <f t="shared" si="10"/>
        <v>397.94996142000008</v>
      </c>
    </row>
    <row r="128" spans="1:28" s="147" customFormat="1" ht="26" x14ac:dyDescent="0.25">
      <c r="A128" s="77">
        <v>116</v>
      </c>
      <c r="B128" s="142" t="s">
        <v>311</v>
      </c>
      <c r="C128" s="142" t="s">
        <v>190</v>
      </c>
      <c r="D128" s="146" t="s">
        <v>349</v>
      </c>
      <c r="E128" s="77">
        <v>0.5</v>
      </c>
      <c r="F128" s="103"/>
      <c r="G128" s="77">
        <v>1</v>
      </c>
      <c r="H128" s="75"/>
      <c r="I128" s="113">
        <v>2.77</v>
      </c>
      <c r="J128" s="104">
        <v>17697</v>
      </c>
      <c r="K128" s="76">
        <v>1.23</v>
      </c>
      <c r="L128" s="104">
        <f t="shared" si="0"/>
        <v>30147.72435</v>
      </c>
      <c r="M128" s="104"/>
      <c r="N128" s="104">
        <f t="shared" si="7"/>
        <v>30147.72435</v>
      </c>
      <c r="O128" s="104">
        <f t="shared" si="8"/>
        <v>3014.7724350000003</v>
      </c>
      <c r="P128" s="104"/>
      <c r="Q128" s="153"/>
      <c r="R128" s="153"/>
      <c r="S128" s="105"/>
      <c r="T128" s="153"/>
      <c r="U128" s="105"/>
      <c r="V128" s="105"/>
      <c r="W128" s="105"/>
      <c r="X128" s="105"/>
      <c r="Y128" s="105"/>
      <c r="Z128" s="105"/>
      <c r="AA128" s="105">
        <f t="shared" si="9"/>
        <v>33162.496785000003</v>
      </c>
      <c r="AB128" s="105">
        <f t="shared" si="10"/>
        <v>397.94996142000008</v>
      </c>
    </row>
    <row r="129" spans="1:30" s="147" customFormat="1" ht="26" x14ac:dyDescent="0.25">
      <c r="A129" s="77">
        <v>117</v>
      </c>
      <c r="B129" s="142" t="s">
        <v>314</v>
      </c>
      <c r="C129" s="142" t="s">
        <v>315</v>
      </c>
      <c r="D129" s="146" t="s">
        <v>350</v>
      </c>
      <c r="E129" s="77">
        <v>1</v>
      </c>
      <c r="F129" s="103"/>
      <c r="G129" s="77">
        <v>2</v>
      </c>
      <c r="H129" s="75"/>
      <c r="I129" s="116">
        <v>2.81</v>
      </c>
      <c r="J129" s="104">
        <v>17697</v>
      </c>
      <c r="K129" s="76">
        <v>1.23</v>
      </c>
      <c r="L129" s="104">
        <f t="shared" si="0"/>
        <v>61166.141100000001</v>
      </c>
      <c r="M129" s="104"/>
      <c r="N129" s="104">
        <f t="shared" si="7"/>
        <v>61166.141100000001</v>
      </c>
      <c r="O129" s="104">
        <f t="shared" si="8"/>
        <v>6116.6141100000004</v>
      </c>
      <c r="P129" s="104"/>
      <c r="Q129" s="153"/>
      <c r="R129" s="106"/>
      <c r="S129" s="105"/>
      <c r="T129" s="106"/>
      <c r="U129" s="105"/>
      <c r="V129" s="105"/>
      <c r="W129" s="105"/>
      <c r="X129" s="105"/>
      <c r="Y129" s="105"/>
      <c r="Z129" s="105"/>
      <c r="AA129" s="105">
        <f t="shared" si="9"/>
        <v>67282.755210000003</v>
      </c>
      <c r="AB129" s="105">
        <f t="shared" si="10"/>
        <v>807.39306252000006</v>
      </c>
    </row>
    <row r="130" spans="1:30" s="147" customFormat="1" ht="18" customHeight="1" x14ac:dyDescent="0.25">
      <c r="A130" s="77">
        <v>118</v>
      </c>
      <c r="B130" s="142" t="s">
        <v>316</v>
      </c>
      <c r="C130" s="142" t="s">
        <v>300</v>
      </c>
      <c r="D130" s="146" t="s">
        <v>349</v>
      </c>
      <c r="E130" s="77">
        <v>1</v>
      </c>
      <c r="F130" s="103"/>
      <c r="G130" s="103">
        <v>5</v>
      </c>
      <c r="H130" s="156"/>
      <c r="I130" s="157">
        <v>2.92</v>
      </c>
      <c r="J130" s="104">
        <v>17697</v>
      </c>
      <c r="K130" s="76">
        <v>1.23</v>
      </c>
      <c r="L130" s="104">
        <f t="shared" si="0"/>
        <v>63560.545199999993</v>
      </c>
      <c r="M130" s="104"/>
      <c r="N130" s="104">
        <f t="shared" si="7"/>
        <v>63560.545199999993</v>
      </c>
      <c r="O130" s="104">
        <f t="shared" si="8"/>
        <v>6356.0545199999997</v>
      </c>
      <c r="P130" s="104"/>
      <c r="Q130" s="153"/>
      <c r="R130" s="153">
        <f>E130*J130*35%</f>
        <v>6193.95</v>
      </c>
      <c r="S130" s="105"/>
      <c r="T130" s="153"/>
      <c r="U130" s="105"/>
      <c r="V130" s="105"/>
      <c r="W130" s="105"/>
      <c r="X130" s="105"/>
      <c r="Y130" s="105"/>
      <c r="Z130" s="105"/>
      <c r="AA130" s="105">
        <f t="shared" si="9"/>
        <v>76110.549719999995</v>
      </c>
      <c r="AB130" s="105">
        <f t="shared" si="10"/>
        <v>913.32659663999993</v>
      </c>
    </row>
    <row r="131" spans="1:30" s="147" customFormat="1" ht="26" x14ac:dyDescent="0.25">
      <c r="A131" s="77">
        <v>119</v>
      </c>
      <c r="B131" s="143" t="s">
        <v>283</v>
      </c>
      <c r="C131" s="143" t="s">
        <v>141</v>
      </c>
      <c r="D131" s="146" t="s">
        <v>349</v>
      </c>
      <c r="E131" s="103">
        <v>0.5</v>
      </c>
      <c r="F131" s="103"/>
      <c r="G131" s="103">
        <v>2</v>
      </c>
      <c r="H131" s="156"/>
      <c r="I131" s="157">
        <v>2.81</v>
      </c>
      <c r="J131" s="104">
        <v>17697</v>
      </c>
      <c r="K131" s="76">
        <v>1.23</v>
      </c>
      <c r="L131" s="104">
        <f t="shared" si="0"/>
        <v>30583.07055</v>
      </c>
      <c r="M131" s="104"/>
      <c r="N131" s="104">
        <f t="shared" si="7"/>
        <v>30583.07055</v>
      </c>
      <c r="O131" s="104">
        <f t="shared" si="8"/>
        <v>3058.3070550000002</v>
      </c>
      <c r="P131" s="104"/>
      <c r="Q131" s="153">
        <f>J131*30%*E131</f>
        <v>2654.5499999999997</v>
      </c>
      <c r="R131" s="153"/>
      <c r="S131" s="105"/>
      <c r="T131" s="153"/>
      <c r="U131" s="105"/>
      <c r="V131" s="105"/>
      <c r="W131" s="105"/>
      <c r="X131" s="105"/>
      <c r="Y131" s="105"/>
      <c r="Z131" s="105"/>
      <c r="AA131" s="105">
        <f t="shared" si="9"/>
        <v>36295.927605000004</v>
      </c>
      <c r="AB131" s="105">
        <f t="shared" si="10"/>
        <v>435.55113126000003</v>
      </c>
    </row>
    <row r="132" spans="1:30" s="151" customFormat="1" ht="20.25" customHeight="1" x14ac:dyDescent="0.25">
      <c r="A132" s="145"/>
      <c r="B132" s="144" t="s">
        <v>71</v>
      </c>
      <c r="C132" s="144"/>
      <c r="D132" s="138"/>
      <c r="E132" s="107">
        <f>SUM(E13:E131)</f>
        <v>116.5</v>
      </c>
      <c r="F132" s="138"/>
      <c r="G132" s="138"/>
      <c r="H132" s="108"/>
      <c r="I132" s="117"/>
      <c r="J132" s="55"/>
      <c r="K132" s="150"/>
      <c r="L132" s="55">
        <f t="shared" ref="L132:AB132" si="13">SUM(L13:L131)</f>
        <v>11466891.312630007</v>
      </c>
      <c r="M132" s="55">
        <f t="shared" si="13"/>
        <v>0</v>
      </c>
      <c r="N132" s="55">
        <f t="shared" si="13"/>
        <v>11466891.312630007</v>
      </c>
      <c r="O132" s="55">
        <f t="shared" si="13"/>
        <v>1146689.1312630002</v>
      </c>
      <c r="P132" s="55">
        <f t="shared" si="13"/>
        <v>0</v>
      </c>
      <c r="Q132" s="55">
        <f t="shared" si="13"/>
        <v>120339.6</v>
      </c>
      <c r="R132" s="55">
        <f t="shared" si="13"/>
        <v>6193.95</v>
      </c>
      <c r="S132" s="55">
        <f t="shared" si="13"/>
        <v>20568.082588148867</v>
      </c>
      <c r="T132" s="55">
        <f t="shared" si="13"/>
        <v>246213.00516858854</v>
      </c>
      <c r="U132" s="55">
        <f t="shared" si="13"/>
        <v>0</v>
      </c>
      <c r="V132" s="55">
        <f t="shared" si="13"/>
        <v>39765.159</v>
      </c>
      <c r="W132" s="55">
        <f t="shared" si="13"/>
        <v>371358.27224999998</v>
      </c>
      <c r="X132" s="55">
        <f t="shared" si="13"/>
        <v>457856.78399999999</v>
      </c>
      <c r="Y132" s="55">
        <f t="shared" si="13"/>
        <v>0</v>
      </c>
      <c r="Z132" s="55">
        <f t="shared" si="13"/>
        <v>650751.87187499995</v>
      </c>
      <c r="AA132" s="55">
        <f t="shared" si="13"/>
        <v>14526627.168774741</v>
      </c>
      <c r="AB132" s="55">
        <f t="shared" si="13"/>
        <v>174319.5260252968</v>
      </c>
      <c r="AD132" s="151">
        <v>174834</v>
      </c>
    </row>
    <row r="134" spans="1:30" ht="28.5" customHeight="1" x14ac:dyDescent="0.3">
      <c r="B134" s="118" t="s">
        <v>351</v>
      </c>
      <c r="C134" s="119">
        <v>6</v>
      </c>
      <c r="D134" s="120"/>
      <c r="E134" s="121"/>
      <c r="F134" s="121"/>
      <c r="G134" s="122"/>
    </row>
    <row r="135" spans="1:30" ht="28.5" customHeight="1" x14ac:dyDescent="0.3">
      <c r="B135" s="123" t="s">
        <v>352</v>
      </c>
      <c r="C135" s="124"/>
      <c r="D135" s="124"/>
      <c r="E135" s="124" t="s">
        <v>354</v>
      </c>
      <c r="F135" s="125"/>
      <c r="G135" s="126" t="s">
        <v>353</v>
      </c>
    </row>
    <row r="139" spans="1:30" ht="28.5" customHeight="1" x14ac:dyDescent="0.3">
      <c r="G139" s="109"/>
      <c r="H139" s="109"/>
    </row>
  </sheetData>
  <sheetProtection password="C7B7" sheet="1"/>
  <autoFilter ref="A12:AD132" xr:uid="{00000000-0009-0000-0000-000001000000}"/>
  <mergeCells count="19">
    <mergeCell ref="A9:AB9"/>
    <mergeCell ref="G11:G12"/>
    <mergeCell ref="I11:I12"/>
    <mergeCell ref="L11:L12"/>
    <mergeCell ref="F11:F12"/>
    <mergeCell ref="AB11:AB12"/>
    <mergeCell ref="D11:D12"/>
    <mergeCell ref="AA11:AA12"/>
    <mergeCell ref="K11:K12"/>
    <mergeCell ref="H11:H12"/>
    <mergeCell ref="J11:J12"/>
    <mergeCell ref="M11:M12"/>
    <mergeCell ref="N11:N12"/>
    <mergeCell ref="O11:U11"/>
    <mergeCell ref="V11:Z11"/>
    <mergeCell ref="A11:A12"/>
    <mergeCell ref="B11:B12"/>
    <mergeCell ref="C11:C12"/>
    <mergeCell ref="E11:E12"/>
  </mergeCells>
  <phoneticPr fontId="0" type="noConversion"/>
  <pageMargins left="0" right="0" top="0.39370078740157483" bottom="0.39370078740157483" header="0.51181102362204722" footer="0.51181102362204722"/>
  <pageSetup paperSize="9" scale="64" fitToHeight="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103"/>
  <sheetViews>
    <sheetView view="pageBreakPreview" topLeftCell="I1" zoomScale="91" zoomScaleNormal="84" zoomScaleSheetLayoutView="91" workbookViewId="0">
      <selection sqref="A1:AM26"/>
    </sheetView>
  </sheetViews>
  <sheetFormatPr defaultColWidth="9.1796875" defaultRowHeight="14" x14ac:dyDescent="0.3"/>
  <cols>
    <col min="1" max="1" width="7" customWidth="1"/>
    <col min="2" max="2" width="20.453125" customWidth="1"/>
    <col min="3" max="3" width="12.81640625" customWidth="1"/>
    <col min="4" max="4" width="7.54296875" customWidth="1"/>
    <col min="5" max="5" width="7.7265625" customWidth="1"/>
    <col min="6" max="6" width="6.7265625" customWidth="1"/>
    <col min="7" max="7" width="6" customWidth="1"/>
    <col min="8" max="8" width="7.54296875" style="198" customWidth="1"/>
    <col min="9" max="9" width="6" style="136" customWidth="1"/>
    <col min="10" max="10" width="7.54296875" style="41" customWidth="1"/>
    <col min="11" max="11" width="6.81640625" style="27" customWidth="1"/>
    <col min="12" max="12" width="10.81640625" style="41" customWidth="1"/>
    <col min="13" max="13" width="8.453125" customWidth="1"/>
    <col min="14" max="14" width="5.81640625" customWidth="1"/>
    <col min="15" max="15" width="11.7265625" style="41" customWidth="1"/>
    <col min="16" max="16" width="6.54296875" customWidth="1"/>
    <col min="17" max="17" width="11" style="41" customWidth="1"/>
    <col min="18" max="18" width="10" hidden="1" customWidth="1"/>
    <col min="19" max="19" width="10.54296875" style="41" customWidth="1"/>
    <col min="20" max="20" width="8.26953125" style="14" customWidth="1"/>
    <col min="21" max="21" width="6.1796875" style="14" customWidth="1"/>
    <col min="22" max="22" width="6.1796875" customWidth="1"/>
    <col min="23" max="23" width="9.81640625" style="41" customWidth="1"/>
    <col min="24" max="24" width="4.81640625" customWidth="1"/>
    <col min="25" max="25" width="8.453125" style="34" customWidth="1"/>
    <col min="26" max="26" width="9.1796875" style="41" customWidth="1"/>
    <col min="27" max="27" width="10.453125" style="41" customWidth="1"/>
    <col min="28" max="28" width="9.1796875" style="41" customWidth="1"/>
    <col min="29" max="29" width="11.7265625" customWidth="1"/>
    <col min="30" max="30" width="7" customWidth="1"/>
    <col min="31" max="31" width="10.26953125" customWidth="1"/>
    <col min="32" max="32" width="7.54296875" customWidth="1"/>
    <col min="33" max="33" width="9" customWidth="1"/>
    <col min="34" max="34" width="8.54296875" customWidth="1"/>
    <col min="35" max="35" width="10.54296875" customWidth="1"/>
    <col min="36" max="36" width="9.1796875" customWidth="1"/>
    <col min="37" max="37" width="11.54296875" customWidth="1"/>
    <col min="38" max="38" width="11.54296875" style="41" customWidth="1"/>
    <col min="39" max="39" width="10.54296875" style="41" customWidth="1"/>
  </cols>
  <sheetData>
    <row r="1" spans="1:41" s="2" customFormat="1" x14ac:dyDescent="0.3">
      <c r="A1" s="82"/>
      <c r="C1" s="82"/>
      <c r="D1" s="82"/>
      <c r="E1" s="82"/>
      <c r="F1" s="84"/>
      <c r="G1" s="85"/>
      <c r="H1" s="187"/>
      <c r="I1" s="127"/>
      <c r="J1" s="178"/>
      <c r="K1" s="86"/>
      <c r="L1" s="85"/>
      <c r="M1" s="82"/>
      <c r="N1" s="82"/>
      <c r="O1" s="82"/>
      <c r="P1" s="82"/>
      <c r="Q1" s="82"/>
      <c r="R1" s="82"/>
      <c r="S1" s="82"/>
      <c r="T1" s="82"/>
      <c r="U1" s="82"/>
      <c r="V1" s="82"/>
      <c r="W1" s="82"/>
      <c r="X1" s="82"/>
      <c r="Y1" s="85"/>
      <c r="Z1" s="82"/>
      <c r="AA1" s="82"/>
      <c r="AB1" s="82"/>
      <c r="AC1" s="82"/>
      <c r="AD1" s="3"/>
      <c r="AE1" s="83" t="s">
        <v>9</v>
      </c>
      <c r="AF1" s="3"/>
      <c r="AG1" s="49"/>
      <c r="AH1" s="49"/>
      <c r="AI1" s="50"/>
      <c r="AJ1" s="49"/>
      <c r="AK1" s="49"/>
      <c r="AL1" s="50"/>
      <c r="AM1" s="50"/>
      <c r="AN1" s="50"/>
      <c r="AO1" s="42"/>
    </row>
    <row r="2" spans="1:41" s="2" customFormat="1" x14ac:dyDescent="0.3">
      <c r="A2" s="82"/>
      <c r="C2" s="82"/>
      <c r="D2" s="82"/>
      <c r="E2" s="82"/>
      <c r="F2" s="84"/>
      <c r="G2" s="85"/>
      <c r="H2" s="187"/>
      <c r="I2" s="127"/>
      <c r="J2" s="178"/>
      <c r="K2" s="86"/>
      <c r="L2" s="85"/>
      <c r="M2" s="82"/>
      <c r="N2" s="82"/>
      <c r="O2" s="82"/>
      <c r="P2" s="82"/>
      <c r="Q2" s="82"/>
      <c r="R2" s="82"/>
      <c r="S2" s="82"/>
      <c r="T2" s="82"/>
      <c r="U2" s="82"/>
      <c r="V2" s="82"/>
      <c r="W2" s="82"/>
      <c r="X2" s="82"/>
      <c r="Y2" s="85"/>
      <c r="Z2" s="82"/>
      <c r="AA2" s="82"/>
      <c r="AB2" s="82"/>
      <c r="AC2" s="82"/>
      <c r="AD2" s="3"/>
      <c r="AE2" s="82" t="s">
        <v>38</v>
      </c>
      <c r="AF2" s="3"/>
      <c r="AG2" s="51"/>
      <c r="AH2" s="51"/>
      <c r="AI2" s="50"/>
      <c r="AJ2" s="51"/>
      <c r="AK2" s="51"/>
      <c r="AL2" s="50"/>
      <c r="AM2" s="50"/>
      <c r="AN2" s="50"/>
      <c r="AO2" s="18"/>
    </row>
    <row r="3" spans="1:41" s="2" customFormat="1" x14ac:dyDescent="0.3">
      <c r="A3" s="82"/>
      <c r="C3" s="82"/>
      <c r="D3" s="82"/>
      <c r="E3" s="82"/>
      <c r="F3" s="84"/>
      <c r="G3" s="85"/>
      <c r="H3" s="187"/>
      <c r="I3" s="127"/>
      <c r="J3" s="178"/>
      <c r="K3" s="86"/>
      <c r="L3" s="85"/>
      <c r="M3" s="82"/>
      <c r="N3" s="82"/>
      <c r="O3" s="82"/>
      <c r="P3" s="82"/>
      <c r="Q3" s="82"/>
      <c r="R3" s="82"/>
      <c r="S3" s="82"/>
      <c r="T3" s="82"/>
      <c r="U3" s="82"/>
      <c r="V3" s="82"/>
      <c r="W3" s="82"/>
      <c r="X3" s="82"/>
      <c r="Y3" s="85"/>
      <c r="Z3" s="82"/>
      <c r="AA3" s="82"/>
      <c r="AB3" s="82"/>
      <c r="AC3" s="82"/>
      <c r="AE3" s="83" t="s">
        <v>341</v>
      </c>
      <c r="AG3" s="49"/>
      <c r="AH3" s="49"/>
      <c r="AI3" s="50"/>
      <c r="AJ3" s="49"/>
      <c r="AK3" s="49"/>
      <c r="AL3" s="50"/>
      <c r="AM3" s="50"/>
      <c r="AN3" s="50"/>
      <c r="AO3" s="18"/>
    </row>
    <row r="4" spans="1:41" s="2" customFormat="1" ht="24.75" customHeight="1" x14ac:dyDescent="0.3">
      <c r="A4" s="82"/>
      <c r="C4" s="82"/>
      <c r="D4" s="82"/>
      <c r="E4" s="82"/>
      <c r="F4" s="84"/>
      <c r="G4" s="85"/>
      <c r="H4" s="187"/>
      <c r="I4" s="127"/>
      <c r="J4" s="178"/>
      <c r="K4" s="86"/>
      <c r="L4" s="85"/>
      <c r="M4" s="82"/>
      <c r="N4" s="82"/>
      <c r="O4" s="82"/>
      <c r="P4" s="82"/>
      <c r="Q4" s="82"/>
      <c r="R4" s="82"/>
      <c r="S4" s="82"/>
      <c r="T4" s="82"/>
      <c r="U4" s="82"/>
      <c r="V4" s="82"/>
      <c r="W4" s="82"/>
      <c r="X4" s="82"/>
      <c r="Y4" s="85"/>
      <c r="Z4" s="82"/>
      <c r="AA4" s="82"/>
      <c r="AB4" s="82"/>
      <c r="AC4" s="82"/>
      <c r="AE4" s="83" t="s">
        <v>332</v>
      </c>
      <c r="AG4" s="49"/>
      <c r="AH4" s="49"/>
      <c r="AI4" s="50"/>
      <c r="AJ4" s="49"/>
      <c r="AK4" s="49"/>
      <c r="AL4" s="50"/>
      <c r="AM4" s="50"/>
      <c r="AN4" s="50"/>
      <c r="AO4" s="18"/>
    </row>
    <row r="5" spans="1:41" s="2" customFormat="1" x14ac:dyDescent="0.3">
      <c r="A5" s="82"/>
      <c r="C5" s="82"/>
      <c r="D5" s="82"/>
      <c r="E5" s="82"/>
      <c r="F5" s="84"/>
      <c r="G5" s="85"/>
      <c r="H5" s="187"/>
      <c r="I5" s="127"/>
      <c r="J5" s="178"/>
      <c r="K5" s="86"/>
      <c r="L5" s="85"/>
      <c r="M5" s="82"/>
      <c r="N5" s="82"/>
      <c r="O5" s="82"/>
      <c r="P5" s="82"/>
      <c r="Q5" s="82"/>
      <c r="R5" s="82"/>
      <c r="S5" s="82"/>
      <c r="T5" s="82"/>
      <c r="U5" s="82"/>
      <c r="V5" s="82"/>
      <c r="W5" s="82"/>
      <c r="X5" s="82"/>
      <c r="Y5" s="85"/>
      <c r="Z5" s="82"/>
      <c r="AA5" s="82"/>
      <c r="AB5" s="82"/>
      <c r="AC5" s="82"/>
      <c r="AE5" s="83" t="s">
        <v>342</v>
      </c>
      <c r="AG5" s="49"/>
      <c r="AH5" s="49"/>
      <c r="AI5" s="50"/>
      <c r="AJ5" s="49"/>
      <c r="AK5" s="49"/>
      <c r="AL5" s="50"/>
      <c r="AM5" s="50"/>
      <c r="AN5" s="50"/>
    </row>
    <row r="6" spans="1:41" s="2" customFormat="1" ht="14.25" customHeight="1" x14ac:dyDescent="0.3">
      <c r="A6" s="82"/>
      <c r="B6" s="82"/>
      <c r="C6" s="426"/>
      <c r="D6" s="426"/>
      <c r="E6" s="426"/>
      <c r="F6" s="426"/>
      <c r="G6" s="82"/>
      <c r="H6" s="188"/>
      <c r="I6" s="82"/>
      <c r="J6" s="178"/>
      <c r="K6" s="86"/>
      <c r="L6" s="85"/>
      <c r="M6" s="82"/>
      <c r="N6" s="82"/>
      <c r="O6" s="82"/>
      <c r="P6" s="82"/>
      <c r="Q6" s="82"/>
      <c r="R6" s="82"/>
      <c r="S6" s="82"/>
      <c r="T6" s="82"/>
      <c r="U6" s="82"/>
      <c r="AE6" s="83" t="s">
        <v>343</v>
      </c>
      <c r="AG6" s="49"/>
      <c r="AH6" s="49"/>
      <c r="AI6" s="50"/>
      <c r="AJ6" s="49"/>
      <c r="AK6" s="49"/>
      <c r="AL6" s="50"/>
      <c r="AM6" s="50"/>
      <c r="AN6" s="50"/>
    </row>
    <row r="7" spans="1:41" s="2" customFormat="1" ht="14.25" customHeight="1" x14ac:dyDescent="0.3">
      <c r="A7" s="82"/>
      <c r="B7" s="427"/>
      <c r="C7" s="428"/>
      <c r="D7" s="428"/>
      <c r="E7" s="429"/>
      <c r="F7" s="88" t="s">
        <v>15</v>
      </c>
      <c r="G7" s="88" t="s">
        <v>16</v>
      </c>
      <c r="H7" s="189" t="s">
        <v>17</v>
      </c>
      <c r="I7" s="88"/>
      <c r="J7" s="178"/>
      <c r="K7" s="86"/>
      <c r="L7" s="85"/>
      <c r="M7" s="82"/>
      <c r="N7" s="82"/>
      <c r="O7" s="82"/>
      <c r="P7" s="82"/>
      <c r="Q7" s="82"/>
      <c r="R7" s="82"/>
      <c r="S7" s="82"/>
      <c r="T7" s="82"/>
      <c r="U7" s="82"/>
      <c r="AG7" s="49"/>
      <c r="AH7" s="49"/>
      <c r="AI7" s="50"/>
      <c r="AJ7" s="49"/>
      <c r="AK7" s="49"/>
      <c r="AL7" s="50"/>
      <c r="AM7" s="50"/>
      <c r="AN7" s="50"/>
    </row>
    <row r="8" spans="1:41" s="2" customFormat="1" ht="14.25" customHeight="1" x14ac:dyDescent="0.3">
      <c r="A8" s="82"/>
      <c r="B8" s="93" t="s">
        <v>18</v>
      </c>
      <c r="C8" s="94"/>
      <c r="D8" s="94"/>
      <c r="E8" s="87"/>
      <c r="F8" s="95">
        <v>276</v>
      </c>
      <c r="G8" s="95">
        <f>N89</f>
        <v>731</v>
      </c>
      <c r="H8" s="190">
        <f t="shared" ref="H8:H14" si="0">F8+G8</f>
        <v>1007</v>
      </c>
      <c r="I8" s="88"/>
      <c r="J8" s="179"/>
      <c r="K8" s="92"/>
      <c r="L8" s="91"/>
      <c r="M8" s="89"/>
      <c r="N8" s="89"/>
      <c r="O8" s="89"/>
      <c r="P8" s="89"/>
      <c r="Q8" s="89"/>
      <c r="R8" s="89"/>
      <c r="S8" s="89"/>
      <c r="T8" s="89"/>
      <c r="U8" s="89"/>
      <c r="AG8" s="52"/>
      <c r="AH8" s="52"/>
      <c r="AI8" s="52"/>
      <c r="AJ8" s="52"/>
      <c r="AK8" s="52"/>
      <c r="AL8" s="52"/>
      <c r="AM8" s="52"/>
      <c r="AN8" s="52"/>
    </row>
    <row r="9" spans="1:41" s="2" customFormat="1" ht="14.25" customHeight="1" x14ac:dyDescent="0.3">
      <c r="A9" s="85"/>
      <c r="B9" s="96" t="s">
        <v>344</v>
      </c>
      <c r="C9" s="94"/>
      <c r="D9" s="98"/>
      <c r="E9" s="99"/>
      <c r="F9" s="88">
        <v>337</v>
      </c>
      <c r="G9" s="88">
        <v>125</v>
      </c>
      <c r="H9" s="190">
        <f t="shared" si="0"/>
        <v>462</v>
      </c>
      <c r="I9" s="88"/>
      <c r="J9" s="179"/>
      <c r="K9" s="90"/>
      <c r="L9" s="91"/>
      <c r="M9" s="89"/>
      <c r="N9" s="89"/>
      <c r="O9" s="89"/>
      <c r="P9" s="89"/>
      <c r="Q9" s="89"/>
      <c r="R9" s="89"/>
      <c r="S9" s="91"/>
      <c r="T9" s="91"/>
      <c r="U9" s="91"/>
      <c r="AG9" s="53"/>
      <c r="AH9" s="53"/>
      <c r="AI9" s="53"/>
      <c r="AJ9" s="53"/>
      <c r="AK9" s="53"/>
      <c r="AL9" s="54"/>
      <c r="AM9" s="42"/>
    </row>
    <row r="10" spans="1:41" s="2" customFormat="1" ht="14.25" customHeight="1" x14ac:dyDescent="0.3">
      <c r="A10" s="85"/>
      <c r="B10" s="96" t="s">
        <v>345</v>
      </c>
      <c r="C10" s="94"/>
      <c r="D10" s="98"/>
      <c r="E10" s="99"/>
      <c r="F10" s="88">
        <v>15</v>
      </c>
      <c r="G10" s="88">
        <v>6</v>
      </c>
      <c r="H10" s="190">
        <f t="shared" si="0"/>
        <v>21</v>
      </c>
      <c r="I10" s="88"/>
      <c r="J10" s="180"/>
      <c r="K10" s="139"/>
      <c r="L10" s="139"/>
      <c r="M10" s="139"/>
      <c r="N10" s="139"/>
      <c r="O10" s="139"/>
      <c r="P10" s="139"/>
      <c r="Q10" s="139"/>
      <c r="R10" s="139"/>
      <c r="S10" s="139"/>
      <c r="T10" s="91"/>
      <c r="U10" s="91"/>
      <c r="AG10" s="38"/>
      <c r="AH10" s="38"/>
      <c r="AI10" s="38"/>
      <c r="AJ10" s="38"/>
      <c r="AK10" s="38"/>
      <c r="AL10" s="18"/>
      <c r="AM10" s="42"/>
    </row>
    <row r="11" spans="1:41" s="2" customFormat="1" ht="14.25" customHeight="1" x14ac:dyDescent="0.3">
      <c r="A11" s="85"/>
      <c r="B11" s="96" t="s">
        <v>346</v>
      </c>
      <c r="C11" s="94"/>
      <c r="D11" s="98"/>
      <c r="E11" s="99"/>
      <c r="F11" s="88">
        <v>15</v>
      </c>
      <c r="G11" s="88">
        <v>6</v>
      </c>
      <c r="H11" s="190">
        <f t="shared" si="0"/>
        <v>21</v>
      </c>
      <c r="I11" s="88"/>
      <c r="J11" s="180"/>
      <c r="K11" s="139"/>
      <c r="L11" s="139"/>
      <c r="M11" s="139"/>
      <c r="N11" s="139"/>
      <c r="O11" s="139"/>
      <c r="P11" s="139"/>
      <c r="Q11" s="139"/>
      <c r="R11" s="139"/>
      <c r="S11" s="139"/>
      <c r="T11" s="91"/>
      <c r="U11" s="91"/>
      <c r="AG11" s="12"/>
      <c r="AH11" s="12"/>
      <c r="AI11" s="12"/>
      <c r="AJ11" s="12"/>
      <c r="AK11" s="12"/>
      <c r="AL11" s="18"/>
      <c r="AM11" s="42"/>
    </row>
    <row r="12" spans="1:41" s="2" customFormat="1" ht="14.25" customHeight="1" x14ac:dyDescent="0.3">
      <c r="A12" s="85"/>
      <c r="B12" s="96" t="s">
        <v>19</v>
      </c>
      <c r="C12" s="94"/>
      <c r="D12" s="98"/>
      <c r="E12" s="99"/>
      <c r="F12" s="95">
        <v>276</v>
      </c>
      <c r="G12" s="95">
        <f>G8</f>
        <v>731</v>
      </c>
      <c r="H12" s="190">
        <f t="shared" si="0"/>
        <v>1007</v>
      </c>
      <c r="I12" s="95"/>
      <c r="J12" s="180"/>
      <c r="K12" s="139"/>
      <c r="L12" s="139"/>
      <c r="M12" s="139"/>
      <c r="N12" s="139"/>
      <c r="O12" s="139"/>
      <c r="P12" s="139"/>
      <c r="Q12" s="139"/>
      <c r="R12" s="139"/>
      <c r="S12" s="139"/>
      <c r="T12" s="85"/>
      <c r="U12" s="85"/>
      <c r="AG12" s="12"/>
      <c r="AH12" s="12"/>
      <c r="AI12" s="12"/>
      <c r="AJ12" s="12"/>
      <c r="AK12" s="12"/>
      <c r="AL12" s="18"/>
      <c r="AM12" s="42"/>
    </row>
    <row r="13" spans="1:41" s="2" customFormat="1" ht="19.5" customHeight="1" x14ac:dyDescent="0.3">
      <c r="A13" s="85"/>
      <c r="B13" s="96" t="s">
        <v>20</v>
      </c>
      <c r="C13" s="94"/>
      <c r="D13" s="98"/>
      <c r="E13" s="99"/>
      <c r="F13" s="95">
        <v>276</v>
      </c>
      <c r="G13" s="95">
        <f>G8</f>
        <v>731</v>
      </c>
      <c r="H13" s="190">
        <f t="shared" si="0"/>
        <v>1007</v>
      </c>
      <c r="I13" s="95"/>
      <c r="J13" s="180"/>
      <c r="K13" s="139"/>
      <c r="L13" s="139"/>
      <c r="M13" s="139"/>
      <c r="N13" s="139"/>
      <c r="O13" s="139"/>
      <c r="P13" s="139"/>
      <c r="Q13" s="139"/>
      <c r="R13" s="139"/>
      <c r="S13" s="139"/>
      <c r="T13" s="85"/>
      <c r="U13" s="85"/>
      <c r="AG13" s="4"/>
      <c r="AH13" s="4"/>
      <c r="AI13" s="4"/>
      <c r="AJ13" s="4"/>
      <c r="AK13" s="4"/>
      <c r="AL13" s="18"/>
      <c r="AM13" s="42"/>
    </row>
    <row r="14" spans="1:41" s="2" customFormat="1" ht="17.25" customHeight="1" x14ac:dyDescent="0.3">
      <c r="A14" s="85"/>
      <c r="B14" s="96" t="s">
        <v>21</v>
      </c>
      <c r="C14" s="94"/>
      <c r="D14" s="97"/>
      <c r="E14" s="87"/>
      <c r="F14" s="95">
        <v>276</v>
      </c>
      <c r="G14" s="95">
        <v>731</v>
      </c>
      <c r="H14" s="190">
        <f t="shared" si="0"/>
        <v>1007</v>
      </c>
      <c r="I14" s="95"/>
      <c r="J14" s="178"/>
      <c r="K14" s="84"/>
      <c r="L14" s="85"/>
      <c r="M14" s="82"/>
      <c r="N14" s="82"/>
      <c r="O14" s="82"/>
      <c r="P14" s="82"/>
      <c r="Q14" s="82"/>
      <c r="R14" s="82"/>
      <c r="S14" s="82"/>
      <c r="T14" s="82"/>
      <c r="U14" s="82"/>
      <c r="AD14" s="13"/>
      <c r="AE14" s="13"/>
      <c r="AF14" s="13"/>
      <c r="AG14" s="13"/>
      <c r="AH14" s="13"/>
      <c r="AI14" s="13"/>
      <c r="AJ14" s="13"/>
      <c r="AK14" s="13"/>
      <c r="AL14" s="18"/>
      <c r="AM14" s="42"/>
    </row>
    <row r="15" spans="1:41" s="2" customFormat="1" ht="17.25" customHeight="1" x14ac:dyDescent="0.3">
      <c r="A15" s="85"/>
      <c r="B15" s="158"/>
      <c r="C15" s="82"/>
      <c r="D15" s="158"/>
      <c r="E15" s="85"/>
      <c r="F15" s="83"/>
      <c r="G15" s="83"/>
      <c r="H15" s="191"/>
      <c r="I15" s="83"/>
      <c r="J15" s="178"/>
      <c r="K15" s="84"/>
      <c r="L15" s="85"/>
      <c r="M15" s="82"/>
      <c r="N15" s="82"/>
      <c r="O15" s="82"/>
      <c r="P15" s="82"/>
      <c r="Q15" s="82"/>
      <c r="R15" s="82"/>
      <c r="S15" s="82"/>
      <c r="T15" s="82"/>
      <c r="U15" s="82"/>
      <c r="AD15" s="13"/>
      <c r="AE15" s="13"/>
      <c r="AF15" s="13"/>
      <c r="AG15" s="13"/>
      <c r="AH15" s="13"/>
      <c r="AI15" s="13"/>
      <c r="AJ15" s="13"/>
      <c r="AK15" s="13"/>
      <c r="AL15" s="18"/>
      <c r="AM15" s="42"/>
    </row>
    <row r="16" spans="1:41" s="2" customFormat="1" ht="32.25" customHeight="1" x14ac:dyDescent="0.2">
      <c r="A16" s="432" t="s">
        <v>355</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row>
    <row r="17" spans="1:40" s="2" customFormat="1" ht="17.25" customHeight="1" x14ac:dyDescent="0.3">
      <c r="A17" s="85"/>
      <c r="B17" s="158"/>
      <c r="C17" s="82"/>
      <c r="D17" s="158"/>
      <c r="E17" s="85"/>
      <c r="F17" s="83"/>
      <c r="G17" s="83"/>
      <c r="H17" s="191"/>
      <c r="I17" s="83"/>
      <c r="J17" s="178"/>
      <c r="K17" s="84"/>
      <c r="L17" s="85"/>
      <c r="M17" s="82"/>
      <c r="N17" s="82"/>
      <c r="O17" s="82"/>
      <c r="P17" s="82"/>
      <c r="Q17" s="82"/>
      <c r="R17" s="82"/>
      <c r="S17" s="82"/>
      <c r="T17" s="82"/>
      <c r="U17" s="82"/>
      <c r="AD17" s="13"/>
      <c r="AE17" s="13"/>
      <c r="AF17" s="13"/>
      <c r="AG17" s="13"/>
      <c r="AH17" s="13"/>
      <c r="AI17" s="13"/>
      <c r="AJ17" s="13"/>
      <c r="AK17" s="13"/>
      <c r="AL17" s="18"/>
      <c r="AM17" s="42"/>
    </row>
    <row r="18" spans="1:40" s="2" customFormat="1" ht="14.25" customHeight="1" x14ac:dyDescent="0.2">
      <c r="A18" s="22"/>
      <c r="B18" s="21"/>
      <c r="C18" s="21"/>
      <c r="D18" s="22"/>
      <c r="E18" s="22"/>
      <c r="F18" s="22"/>
      <c r="G18" s="22"/>
      <c r="H18" s="182"/>
      <c r="I18" s="128"/>
      <c r="J18" s="45"/>
      <c r="K18" s="22"/>
      <c r="L18" s="45"/>
      <c r="M18" s="22"/>
      <c r="N18" s="22"/>
      <c r="O18" s="45"/>
      <c r="P18" s="22"/>
      <c r="Q18" s="46"/>
      <c r="R18" s="22"/>
      <c r="S18" s="45"/>
      <c r="T18" s="22"/>
      <c r="U18" s="22"/>
      <c r="V18" s="22"/>
      <c r="W18" s="45"/>
      <c r="X18" s="22"/>
      <c r="Y18" s="37"/>
      <c r="Z18" s="45"/>
      <c r="AA18" s="45"/>
      <c r="AB18" s="45"/>
      <c r="AC18" s="22"/>
      <c r="AD18" s="415"/>
      <c r="AE18" s="415"/>
      <c r="AF18" s="415"/>
      <c r="AG18" s="415"/>
      <c r="AH18" s="415"/>
      <c r="AI18" s="415"/>
      <c r="AJ18" s="415"/>
      <c r="AK18" s="415"/>
      <c r="AL18" s="415"/>
      <c r="AM18" s="42"/>
    </row>
    <row r="19" spans="1:40" s="20" customFormat="1" ht="25.5" customHeight="1" x14ac:dyDescent="0.25">
      <c r="A19" s="416" t="s">
        <v>22</v>
      </c>
      <c r="B19" s="416" t="s">
        <v>23</v>
      </c>
      <c r="C19" s="416" t="s">
        <v>24</v>
      </c>
      <c r="D19" s="421" t="s">
        <v>25</v>
      </c>
      <c r="E19" s="422" t="s">
        <v>56</v>
      </c>
      <c r="F19" s="421" t="s">
        <v>35</v>
      </c>
      <c r="G19" s="421" t="s">
        <v>72</v>
      </c>
      <c r="H19" s="430" t="s">
        <v>26</v>
      </c>
      <c r="I19" s="431" t="s">
        <v>27</v>
      </c>
      <c r="J19" s="417" t="s">
        <v>53</v>
      </c>
      <c r="K19" s="422" t="s">
        <v>57</v>
      </c>
      <c r="L19" s="417" t="s">
        <v>58</v>
      </c>
      <c r="M19" s="425" t="s">
        <v>28</v>
      </c>
      <c r="N19" s="416" t="s">
        <v>29</v>
      </c>
      <c r="O19" s="416"/>
      <c r="P19" s="416"/>
      <c r="Q19" s="416"/>
      <c r="R19" s="422" t="s">
        <v>60</v>
      </c>
      <c r="S19" s="418" t="s">
        <v>42</v>
      </c>
      <c r="T19" s="436">
        <v>0.1</v>
      </c>
      <c r="U19" s="17"/>
      <c r="V19" s="416" t="s">
        <v>30</v>
      </c>
      <c r="W19" s="416"/>
      <c r="X19" s="416"/>
      <c r="Y19" s="416"/>
      <c r="Z19" s="416"/>
      <c r="AA19" s="410" t="s">
        <v>41</v>
      </c>
      <c r="AB19" s="424" t="s">
        <v>39</v>
      </c>
      <c r="AC19" s="420" t="s">
        <v>65</v>
      </c>
      <c r="AD19" s="421" t="s">
        <v>31</v>
      </c>
      <c r="AE19" s="420" t="s">
        <v>62</v>
      </c>
      <c r="AF19" s="420" t="s">
        <v>40</v>
      </c>
      <c r="AG19" s="433" t="s">
        <v>63</v>
      </c>
      <c r="AH19" s="434"/>
      <c r="AI19" s="434"/>
      <c r="AJ19" s="435"/>
      <c r="AK19" s="40"/>
      <c r="AL19" s="417" t="s">
        <v>66</v>
      </c>
      <c r="AM19" s="417" t="s">
        <v>67</v>
      </c>
    </row>
    <row r="20" spans="1:40" s="20" customFormat="1" ht="64.5" customHeight="1" x14ac:dyDescent="0.25">
      <c r="A20" s="416"/>
      <c r="B20" s="416"/>
      <c r="C20" s="416"/>
      <c r="D20" s="421"/>
      <c r="E20" s="423"/>
      <c r="F20" s="421"/>
      <c r="G20" s="421"/>
      <c r="H20" s="430"/>
      <c r="I20" s="431"/>
      <c r="J20" s="417"/>
      <c r="K20" s="423"/>
      <c r="L20" s="417"/>
      <c r="M20" s="425"/>
      <c r="N20" s="15" t="s">
        <v>32</v>
      </c>
      <c r="O20" s="43" t="s">
        <v>33</v>
      </c>
      <c r="P20" s="16" t="s">
        <v>32</v>
      </c>
      <c r="Q20" s="43" t="s">
        <v>33</v>
      </c>
      <c r="R20" s="423"/>
      <c r="S20" s="419"/>
      <c r="T20" s="416"/>
      <c r="U20" s="15"/>
      <c r="V20" s="15" t="s">
        <v>34</v>
      </c>
      <c r="W20" s="47" t="s">
        <v>33</v>
      </c>
      <c r="X20" s="15" t="s">
        <v>32</v>
      </c>
      <c r="Y20" s="17" t="s">
        <v>61</v>
      </c>
      <c r="Z20" s="47" t="s">
        <v>33</v>
      </c>
      <c r="AA20" s="410"/>
      <c r="AB20" s="424"/>
      <c r="AC20" s="421"/>
      <c r="AD20" s="421"/>
      <c r="AE20" s="420"/>
      <c r="AF20" s="420"/>
      <c r="AG20" s="39" t="s">
        <v>45</v>
      </c>
      <c r="AH20" s="39" t="s">
        <v>46</v>
      </c>
      <c r="AI20" s="39" t="s">
        <v>64</v>
      </c>
      <c r="AJ20" s="39" t="s">
        <v>47</v>
      </c>
      <c r="AK20" s="39" t="s">
        <v>68</v>
      </c>
      <c r="AL20" s="417"/>
      <c r="AM20" s="417"/>
    </row>
    <row r="21" spans="1:40" s="2" customFormat="1" ht="28" x14ac:dyDescent="0.2">
      <c r="A21" s="56">
        <v>1</v>
      </c>
      <c r="B21" s="58" t="s">
        <v>74</v>
      </c>
      <c r="C21" s="61" t="s">
        <v>142</v>
      </c>
      <c r="D21" s="23" t="s">
        <v>37</v>
      </c>
      <c r="E21" s="26">
        <v>0.5</v>
      </c>
      <c r="F21" s="56" t="s">
        <v>174</v>
      </c>
      <c r="G21" s="23" t="s">
        <v>37</v>
      </c>
      <c r="H21" s="185" t="s">
        <v>359</v>
      </c>
      <c r="I21" s="129">
        <v>5.24</v>
      </c>
      <c r="J21" s="44">
        <v>17697</v>
      </c>
      <c r="K21" s="24">
        <v>1.75</v>
      </c>
      <c r="L21" s="44">
        <f>K21*J21*I21</f>
        <v>162281.49000000002</v>
      </c>
      <c r="M21" s="25">
        <f>N21+P21</f>
        <v>8</v>
      </c>
      <c r="N21" s="56">
        <v>8</v>
      </c>
      <c r="O21" s="44">
        <f>L21/16*N21</f>
        <v>81140.74500000001</v>
      </c>
      <c r="P21" s="69"/>
      <c r="Q21" s="44"/>
      <c r="R21" s="25"/>
      <c r="S21" s="44">
        <f>R21+Q21+O21</f>
        <v>81140.74500000001</v>
      </c>
      <c r="T21" s="44">
        <f>S21*10%</f>
        <v>8114.0745000000015</v>
      </c>
      <c r="U21" s="44"/>
      <c r="V21" s="71">
        <v>0</v>
      </c>
      <c r="W21" s="44">
        <f>(J21/16*V21*20%)</f>
        <v>0</v>
      </c>
      <c r="X21" s="72"/>
      <c r="Y21" s="33"/>
      <c r="Z21" s="44"/>
      <c r="AA21" s="48"/>
      <c r="AB21" s="44"/>
      <c r="AC21" s="44">
        <f>S21*30%</f>
        <v>24342.223500000004</v>
      </c>
      <c r="AD21" s="26"/>
      <c r="AE21" s="44"/>
      <c r="AF21" s="44"/>
      <c r="AG21" s="181"/>
      <c r="AH21" s="44"/>
      <c r="AI21" s="44"/>
      <c r="AJ21" s="44"/>
      <c r="AK21" s="44"/>
      <c r="AL21" s="44">
        <f>AJ21+AI21+AH21+AG21+AF21+AE21+AC21+AB21+AA21+Z21+W21+T21+S21+AK21</f>
        <v>113597.04300000002</v>
      </c>
      <c r="AM21" s="44">
        <f>AL21*12/1000</f>
        <v>1363.1645160000003</v>
      </c>
      <c r="AN21" s="204">
        <f>SUM(M21-X21)</f>
        <v>8</v>
      </c>
    </row>
    <row r="22" spans="1:40" s="2" customFormat="1" ht="28" x14ac:dyDescent="0.2">
      <c r="A22" s="56">
        <v>2</v>
      </c>
      <c r="B22" s="59" t="s">
        <v>75</v>
      </c>
      <c r="C22" s="61" t="s">
        <v>142</v>
      </c>
      <c r="D22" s="23" t="s">
        <v>37</v>
      </c>
      <c r="E22" s="26">
        <f>(N22/16)+(P22/16)</f>
        <v>0.5</v>
      </c>
      <c r="F22" s="56" t="s">
        <v>174</v>
      </c>
      <c r="G22" s="23" t="s">
        <v>37</v>
      </c>
      <c r="H22" s="185" t="s">
        <v>361</v>
      </c>
      <c r="I22" s="129">
        <v>5.24</v>
      </c>
      <c r="J22" s="44">
        <v>17697</v>
      </c>
      <c r="K22" s="24">
        <v>1.75</v>
      </c>
      <c r="L22" s="44">
        <f t="shared" ref="L22:L85" si="1">K22*J22*I22</f>
        <v>162281.49000000002</v>
      </c>
      <c r="M22" s="25">
        <f t="shared" ref="M22:M85" si="2">N22+P22</f>
        <v>8</v>
      </c>
      <c r="N22" s="56">
        <v>8</v>
      </c>
      <c r="O22" s="44">
        <f t="shared" ref="O22:O85" si="3">L22/16*N22</f>
        <v>81140.74500000001</v>
      </c>
      <c r="P22" s="69"/>
      <c r="Q22" s="44"/>
      <c r="R22" s="25"/>
      <c r="S22" s="44">
        <f t="shared" ref="S22:S85" si="4">R22+Q22+O22</f>
        <v>81140.74500000001</v>
      </c>
      <c r="T22" s="44">
        <f t="shared" ref="T22:T85" si="5">S22*10%</f>
        <v>8114.0745000000015</v>
      </c>
      <c r="U22" s="44"/>
      <c r="V22" s="72">
        <v>0</v>
      </c>
      <c r="W22" s="44">
        <f>(J22/16*V22*20%)</f>
        <v>0</v>
      </c>
      <c r="X22" s="72"/>
      <c r="Y22" s="33"/>
      <c r="Z22" s="44"/>
      <c r="AA22" s="48">
        <f>3063*10</f>
        <v>30630</v>
      </c>
      <c r="AB22" s="44"/>
      <c r="AC22" s="44">
        <f t="shared" ref="AC22:AC85" si="6">S22*30%</f>
        <v>24342.223500000004</v>
      </c>
      <c r="AD22" s="26"/>
      <c r="AE22" s="44"/>
      <c r="AF22" s="44"/>
      <c r="AG22" s="181"/>
      <c r="AH22" s="44"/>
      <c r="AI22" s="44"/>
      <c r="AJ22" s="44">
        <f>S22*0.5</f>
        <v>40570.372500000005</v>
      </c>
      <c r="AK22" s="44"/>
      <c r="AL22" s="44">
        <f t="shared" ref="AL22:AL85" si="7">AJ22+AI22+AH22+AG22+AF22+AE22+AC22+AB22+AA22+Z22+W22+T22+S22+AK22</f>
        <v>184797.4155</v>
      </c>
      <c r="AM22" s="44">
        <f t="shared" ref="AM22:AM85" si="8">AL22*12/1000</f>
        <v>2217.5689860000002</v>
      </c>
      <c r="AN22" s="204">
        <f t="shared" ref="AN22:AN85" si="9">SUM(M22-X22)</f>
        <v>8</v>
      </c>
    </row>
    <row r="23" spans="1:40" s="2" customFormat="1" ht="39" x14ac:dyDescent="0.2">
      <c r="A23" s="56">
        <v>3</v>
      </c>
      <c r="B23" s="59" t="s">
        <v>76</v>
      </c>
      <c r="C23" s="61" t="s">
        <v>143</v>
      </c>
      <c r="D23" s="23" t="s">
        <v>37</v>
      </c>
      <c r="E23" s="26">
        <f t="shared" ref="E23:E86" si="10">(N23/16)+(P23/16)</f>
        <v>0.5</v>
      </c>
      <c r="F23" s="56" t="s">
        <v>175</v>
      </c>
      <c r="G23" s="23"/>
      <c r="H23" s="186" t="s">
        <v>363</v>
      </c>
      <c r="I23" s="129">
        <v>4.7300000000000004</v>
      </c>
      <c r="J23" s="44">
        <v>17697</v>
      </c>
      <c r="K23" s="24">
        <v>1.75</v>
      </c>
      <c r="L23" s="44">
        <f t="shared" si="1"/>
        <v>146486.91750000001</v>
      </c>
      <c r="M23" s="25">
        <f t="shared" si="2"/>
        <v>8</v>
      </c>
      <c r="N23" s="56">
        <v>8</v>
      </c>
      <c r="O23" s="44">
        <f t="shared" si="3"/>
        <v>73243.458750000005</v>
      </c>
      <c r="P23" s="69"/>
      <c r="Q23" s="44"/>
      <c r="R23" s="25"/>
      <c r="S23" s="44">
        <f t="shared" si="4"/>
        <v>73243.458750000005</v>
      </c>
      <c r="T23" s="44">
        <f t="shared" si="5"/>
        <v>7324.3458750000009</v>
      </c>
      <c r="U23" s="44"/>
      <c r="V23" s="72">
        <v>0</v>
      </c>
      <c r="W23" s="44">
        <f t="shared" ref="W23:W86" si="11">(J23/16*V23*20%)</f>
        <v>0</v>
      </c>
      <c r="X23" s="72"/>
      <c r="Y23" s="33"/>
      <c r="Z23" s="44"/>
      <c r="AA23" s="48"/>
      <c r="AB23" s="44"/>
      <c r="AC23" s="44">
        <f t="shared" si="6"/>
        <v>21973.037625000001</v>
      </c>
      <c r="AD23" s="26"/>
      <c r="AE23" s="44"/>
      <c r="AF23" s="44"/>
      <c r="AG23" s="181"/>
      <c r="AH23" s="44"/>
      <c r="AI23" s="44"/>
      <c r="AJ23" s="44"/>
      <c r="AK23" s="44"/>
      <c r="AL23" s="44">
        <f t="shared" si="7"/>
        <v>102540.84225000002</v>
      </c>
      <c r="AM23" s="44">
        <f t="shared" si="8"/>
        <v>1230.4901070000003</v>
      </c>
      <c r="AN23" s="204">
        <f t="shared" si="9"/>
        <v>8</v>
      </c>
    </row>
    <row r="24" spans="1:40" s="2" customFormat="1" ht="39" x14ac:dyDescent="0.2">
      <c r="A24" s="56">
        <v>4</v>
      </c>
      <c r="B24" s="58" t="s">
        <v>77</v>
      </c>
      <c r="C24" s="61" t="s">
        <v>144</v>
      </c>
      <c r="D24" s="23" t="s">
        <v>37</v>
      </c>
      <c r="E24" s="26">
        <f t="shared" si="10"/>
        <v>0.5</v>
      </c>
      <c r="F24" s="56" t="s">
        <v>176</v>
      </c>
      <c r="G24" s="23" t="s">
        <v>37</v>
      </c>
      <c r="H24" s="185" t="s">
        <v>360</v>
      </c>
      <c r="I24" s="129">
        <v>5.41</v>
      </c>
      <c r="J24" s="44">
        <v>17697</v>
      </c>
      <c r="K24" s="24">
        <v>1.75</v>
      </c>
      <c r="L24" s="44">
        <f t="shared" si="1"/>
        <v>167546.3475</v>
      </c>
      <c r="M24" s="25">
        <f t="shared" si="2"/>
        <v>8</v>
      </c>
      <c r="N24" s="56">
        <v>8</v>
      </c>
      <c r="O24" s="44">
        <f t="shared" si="3"/>
        <v>83773.173750000002</v>
      </c>
      <c r="P24" s="69"/>
      <c r="Q24" s="44"/>
      <c r="R24" s="25"/>
      <c r="S24" s="44">
        <f t="shared" si="4"/>
        <v>83773.173750000002</v>
      </c>
      <c r="T24" s="44">
        <f t="shared" si="5"/>
        <v>8377.3173750000005</v>
      </c>
      <c r="U24" s="44"/>
      <c r="V24" s="72">
        <v>0</v>
      </c>
      <c r="W24" s="44">
        <f t="shared" si="11"/>
        <v>0</v>
      </c>
      <c r="X24" s="72">
        <v>6</v>
      </c>
      <c r="Y24" s="33">
        <v>0.5</v>
      </c>
      <c r="Z24" s="44">
        <f t="shared" ref="Z24:Z79" si="12">J24/16*X24*Y24</f>
        <v>3318.1875</v>
      </c>
      <c r="AA24" s="48"/>
      <c r="AB24" s="44"/>
      <c r="AC24" s="44">
        <f t="shared" si="6"/>
        <v>25131.952125</v>
      </c>
      <c r="AD24" s="26">
        <v>8</v>
      </c>
      <c r="AE24" s="44">
        <f t="shared" ref="AE24:AE84" si="13">J24/16*40%*AD24</f>
        <v>3539.4</v>
      </c>
      <c r="AF24" s="44"/>
      <c r="AG24" s="181"/>
      <c r="AH24" s="44"/>
      <c r="AI24" s="44">
        <f>S24*0.4</f>
        <v>33509.269500000002</v>
      </c>
      <c r="AJ24" s="44"/>
      <c r="AK24" s="44"/>
      <c r="AL24" s="44">
        <f t="shared" si="7"/>
        <v>157649.30025</v>
      </c>
      <c r="AM24" s="44">
        <f t="shared" si="8"/>
        <v>1891.7916030000001</v>
      </c>
      <c r="AN24" s="204">
        <f t="shared" si="9"/>
        <v>2</v>
      </c>
    </row>
    <row r="25" spans="1:40" s="2" customFormat="1" ht="39" x14ac:dyDescent="0.2">
      <c r="A25" s="56">
        <v>5</v>
      </c>
      <c r="B25" s="58" t="s">
        <v>78</v>
      </c>
      <c r="C25" s="61" t="s">
        <v>145</v>
      </c>
      <c r="D25" s="23" t="s">
        <v>37</v>
      </c>
      <c r="E25" s="26">
        <f t="shared" si="10"/>
        <v>1.125</v>
      </c>
      <c r="F25" s="56" t="s">
        <v>176</v>
      </c>
      <c r="G25" s="23" t="s">
        <v>37</v>
      </c>
      <c r="H25" s="185" t="s">
        <v>414</v>
      </c>
      <c r="I25" s="129">
        <v>5.41</v>
      </c>
      <c r="J25" s="44">
        <v>17697</v>
      </c>
      <c r="K25" s="24">
        <v>1.75</v>
      </c>
      <c r="L25" s="44">
        <f t="shared" si="1"/>
        <v>167546.3475</v>
      </c>
      <c r="M25" s="25">
        <f t="shared" si="2"/>
        <v>18</v>
      </c>
      <c r="N25" s="56">
        <v>18</v>
      </c>
      <c r="O25" s="44">
        <f t="shared" si="3"/>
        <v>188489.64093749999</v>
      </c>
      <c r="P25" s="69"/>
      <c r="Q25" s="44"/>
      <c r="R25" s="25"/>
      <c r="S25" s="44">
        <f t="shared" si="4"/>
        <v>188489.64093749999</v>
      </c>
      <c r="T25" s="44">
        <f t="shared" si="5"/>
        <v>18848.964093750001</v>
      </c>
      <c r="U25" s="44"/>
      <c r="V25" s="72">
        <v>0</v>
      </c>
      <c r="W25" s="44">
        <f t="shared" si="11"/>
        <v>0</v>
      </c>
      <c r="X25" s="72">
        <v>16</v>
      </c>
      <c r="Y25" s="33">
        <v>0.5</v>
      </c>
      <c r="Z25" s="44">
        <f t="shared" si="12"/>
        <v>8848.5</v>
      </c>
      <c r="AA25" s="48"/>
      <c r="AB25" s="44"/>
      <c r="AC25" s="44">
        <f t="shared" si="6"/>
        <v>56546.892281249995</v>
      </c>
      <c r="AD25" s="26"/>
      <c r="AE25" s="44"/>
      <c r="AF25" s="44"/>
      <c r="AG25" s="181"/>
      <c r="AH25" s="44"/>
      <c r="AI25" s="44">
        <f>S25*0.4</f>
        <v>75395.856375000003</v>
      </c>
      <c r="AJ25" s="44"/>
      <c r="AK25" s="44"/>
      <c r="AL25" s="44">
        <f t="shared" si="7"/>
        <v>348129.8536875</v>
      </c>
      <c r="AM25" s="44">
        <f t="shared" si="8"/>
        <v>4177.5582442499999</v>
      </c>
      <c r="AN25" s="204">
        <f t="shared" si="9"/>
        <v>2</v>
      </c>
    </row>
    <row r="26" spans="1:40" s="2" customFormat="1" ht="39" x14ac:dyDescent="0.2">
      <c r="A26" s="56">
        <v>6</v>
      </c>
      <c r="B26" s="59" t="s">
        <v>79</v>
      </c>
      <c r="C26" s="61" t="s">
        <v>146</v>
      </c>
      <c r="D26" s="23" t="s">
        <v>37</v>
      </c>
      <c r="E26" s="26">
        <f t="shared" si="10"/>
        <v>1</v>
      </c>
      <c r="F26" s="56" t="s">
        <v>174</v>
      </c>
      <c r="G26" s="23" t="s">
        <v>37</v>
      </c>
      <c r="H26" s="185" t="s">
        <v>415</v>
      </c>
      <c r="I26" s="129">
        <v>5.41</v>
      </c>
      <c r="J26" s="44">
        <v>17697</v>
      </c>
      <c r="K26" s="24">
        <v>1.75</v>
      </c>
      <c r="L26" s="44">
        <f t="shared" si="1"/>
        <v>167546.3475</v>
      </c>
      <c r="M26" s="25">
        <f t="shared" si="2"/>
        <v>16</v>
      </c>
      <c r="N26" s="56">
        <v>16</v>
      </c>
      <c r="O26" s="44">
        <f t="shared" si="3"/>
        <v>167546.3475</v>
      </c>
      <c r="P26" s="69"/>
      <c r="Q26" s="44"/>
      <c r="R26" s="25"/>
      <c r="S26" s="44">
        <f t="shared" si="4"/>
        <v>167546.3475</v>
      </c>
      <c r="T26" s="44">
        <f t="shared" si="5"/>
        <v>16754.634750000001</v>
      </c>
      <c r="U26" s="44"/>
      <c r="V26" s="72"/>
      <c r="W26" s="44">
        <f t="shared" si="11"/>
        <v>0</v>
      </c>
      <c r="X26" s="72">
        <v>11.5</v>
      </c>
      <c r="Y26" s="33">
        <v>0.5</v>
      </c>
      <c r="Z26" s="44">
        <f t="shared" si="12"/>
        <v>6359.859375</v>
      </c>
      <c r="AA26" s="48"/>
      <c r="AB26" s="44"/>
      <c r="AC26" s="44">
        <f t="shared" si="6"/>
        <v>50263.90425</v>
      </c>
      <c r="AD26" s="26"/>
      <c r="AE26" s="44"/>
      <c r="AF26" s="44"/>
      <c r="AG26" s="181"/>
      <c r="AH26" s="44"/>
      <c r="AI26" s="44">
        <f>S26*0.4</f>
        <v>67018.539000000004</v>
      </c>
      <c r="AJ26" s="44"/>
      <c r="AK26" s="44"/>
      <c r="AL26" s="44">
        <f t="shared" si="7"/>
        <v>307943.28487500001</v>
      </c>
      <c r="AM26" s="44">
        <f t="shared" si="8"/>
        <v>3695.3194185000002</v>
      </c>
      <c r="AN26" s="204">
        <f t="shared" si="9"/>
        <v>4.5</v>
      </c>
    </row>
    <row r="27" spans="1:40" s="2" customFormat="1" ht="39" x14ac:dyDescent="0.2">
      <c r="A27" s="56">
        <v>7</v>
      </c>
      <c r="B27" s="59" t="s">
        <v>80</v>
      </c>
      <c r="C27" s="61" t="s">
        <v>146</v>
      </c>
      <c r="D27" s="23" t="s">
        <v>37</v>
      </c>
      <c r="E27" s="26">
        <f t="shared" si="10"/>
        <v>1</v>
      </c>
      <c r="F27" s="56" t="s">
        <v>177</v>
      </c>
      <c r="G27" s="23" t="s">
        <v>70</v>
      </c>
      <c r="H27" s="185" t="s">
        <v>416</v>
      </c>
      <c r="I27" s="129">
        <v>4.99</v>
      </c>
      <c r="J27" s="44">
        <v>17697</v>
      </c>
      <c r="K27" s="24">
        <v>1.75</v>
      </c>
      <c r="L27" s="44">
        <f t="shared" si="1"/>
        <v>154539.05250000002</v>
      </c>
      <c r="M27" s="25">
        <f t="shared" si="2"/>
        <v>16</v>
      </c>
      <c r="N27" s="56">
        <v>16</v>
      </c>
      <c r="O27" s="44">
        <f t="shared" si="3"/>
        <v>154539.05250000002</v>
      </c>
      <c r="P27" s="69"/>
      <c r="Q27" s="44"/>
      <c r="R27" s="25"/>
      <c r="S27" s="44">
        <f t="shared" si="4"/>
        <v>154539.05250000002</v>
      </c>
      <c r="T27" s="44">
        <f t="shared" si="5"/>
        <v>15453.905250000003</v>
      </c>
      <c r="U27" s="44"/>
      <c r="V27" s="72"/>
      <c r="W27" s="44">
        <f t="shared" si="11"/>
        <v>0</v>
      </c>
      <c r="X27" s="72">
        <v>16</v>
      </c>
      <c r="Y27" s="33">
        <v>0.5</v>
      </c>
      <c r="Z27" s="44">
        <f t="shared" si="12"/>
        <v>8848.5</v>
      </c>
      <c r="AA27" s="48"/>
      <c r="AB27" s="44"/>
      <c r="AC27" s="44">
        <f t="shared" si="6"/>
        <v>46361.715750000003</v>
      </c>
      <c r="AD27" s="26"/>
      <c r="AE27" s="44"/>
      <c r="AF27" s="44"/>
      <c r="AG27" s="181"/>
      <c r="AH27" s="44"/>
      <c r="AI27" s="44"/>
      <c r="AJ27" s="44"/>
      <c r="AK27" s="44"/>
      <c r="AL27" s="44">
        <f t="shared" si="7"/>
        <v>225203.17350000003</v>
      </c>
      <c r="AM27" s="44">
        <f t="shared" si="8"/>
        <v>2702.4380820000006</v>
      </c>
      <c r="AN27" s="204">
        <f t="shared" si="9"/>
        <v>0</v>
      </c>
    </row>
    <row r="28" spans="1:40" s="2" customFormat="1" ht="39" x14ac:dyDescent="0.2">
      <c r="A28" s="56">
        <v>8</v>
      </c>
      <c r="B28" s="59" t="s">
        <v>81</v>
      </c>
      <c r="C28" s="61" t="s">
        <v>146</v>
      </c>
      <c r="D28" s="23" t="s">
        <v>37</v>
      </c>
      <c r="E28" s="26">
        <f t="shared" si="10"/>
        <v>0.5625</v>
      </c>
      <c r="F28" s="56" t="s">
        <v>175</v>
      </c>
      <c r="G28" s="23"/>
      <c r="H28" s="185" t="s">
        <v>380</v>
      </c>
      <c r="I28" s="129">
        <v>4.7300000000000004</v>
      </c>
      <c r="J28" s="44">
        <v>17697</v>
      </c>
      <c r="K28" s="24">
        <v>1.75</v>
      </c>
      <c r="L28" s="44">
        <f t="shared" si="1"/>
        <v>146486.91750000001</v>
      </c>
      <c r="M28" s="25">
        <f t="shared" si="2"/>
        <v>9</v>
      </c>
      <c r="N28" s="56">
        <v>9</v>
      </c>
      <c r="O28" s="44">
        <f t="shared" si="3"/>
        <v>82398.891093750004</v>
      </c>
      <c r="P28" s="69"/>
      <c r="Q28" s="44"/>
      <c r="R28" s="25"/>
      <c r="S28" s="44">
        <f t="shared" si="4"/>
        <v>82398.891093750004</v>
      </c>
      <c r="T28" s="44">
        <f t="shared" si="5"/>
        <v>8239.8891093750008</v>
      </c>
      <c r="U28" s="44"/>
      <c r="V28" s="72"/>
      <c r="W28" s="44">
        <f t="shared" si="11"/>
        <v>0</v>
      </c>
      <c r="X28" s="72">
        <v>9</v>
      </c>
      <c r="Y28" s="33">
        <v>0.5</v>
      </c>
      <c r="Z28" s="44">
        <f t="shared" si="12"/>
        <v>4977.28125</v>
      </c>
      <c r="AA28" s="48"/>
      <c r="AB28" s="44"/>
      <c r="AC28" s="44">
        <f t="shared" si="6"/>
        <v>24719.667328125</v>
      </c>
      <c r="AD28" s="26"/>
      <c r="AE28" s="44"/>
      <c r="AF28" s="44"/>
      <c r="AG28" s="181"/>
      <c r="AH28" s="44"/>
      <c r="AI28" s="44"/>
      <c r="AJ28" s="44"/>
      <c r="AK28" s="44"/>
      <c r="AL28" s="44">
        <f t="shared" si="7"/>
        <v>120335.72878125001</v>
      </c>
      <c r="AM28" s="44">
        <f t="shared" si="8"/>
        <v>1444.0287453750002</v>
      </c>
      <c r="AN28" s="204">
        <f t="shared" si="9"/>
        <v>0</v>
      </c>
    </row>
    <row r="29" spans="1:40" s="2" customFormat="1" ht="39" x14ac:dyDescent="0.2">
      <c r="A29" s="56">
        <v>9</v>
      </c>
      <c r="B29" s="59" t="s">
        <v>82</v>
      </c>
      <c r="C29" s="61" t="s">
        <v>145</v>
      </c>
      <c r="D29" s="23" t="s">
        <v>37</v>
      </c>
      <c r="E29" s="26">
        <f t="shared" si="10"/>
        <v>1.125</v>
      </c>
      <c r="F29" s="56" t="s">
        <v>174</v>
      </c>
      <c r="G29" s="23" t="s">
        <v>37</v>
      </c>
      <c r="H29" s="185" t="s">
        <v>417</v>
      </c>
      <c r="I29" s="129">
        <v>5.41</v>
      </c>
      <c r="J29" s="44">
        <v>17697</v>
      </c>
      <c r="K29" s="24">
        <v>1.75</v>
      </c>
      <c r="L29" s="44">
        <f t="shared" si="1"/>
        <v>167546.3475</v>
      </c>
      <c r="M29" s="25">
        <f t="shared" si="2"/>
        <v>18</v>
      </c>
      <c r="N29" s="56">
        <v>6</v>
      </c>
      <c r="O29" s="44">
        <f t="shared" si="3"/>
        <v>62829.880312499998</v>
      </c>
      <c r="P29" s="69">
        <v>12</v>
      </c>
      <c r="Q29" s="44">
        <f t="shared" ref="Q29:Q70" si="14">L29/16*P29</f>
        <v>125659.760625</v>
      </c>
      <c r="R29" s="25"/>
      <c r="S29" s="44">
        <f t="shared" si="4"/>
        <v>188489.64093749999</v>
      </c>
      <c r="T29" s="44">
        <f t="shared" si="5"/>
        <v>18848.964093750001</v>
      </c>
      <c r="U29" s="44"/>
      <c r="V29" s="72"/>
      <c r="W29" s="44">
        <f t="shared" si="11"/>
        <v>0</v>
      </c>
      <c r="X29" s="72">
        <v>12</v>
      </c>
      <c r="Y29" s="33">
        <v>0.5</v>
      </c>
      <c r="Z29" s="44">
        <f t="shared" si="12"/>
        <v>6636.375</v>
      </c>
      <c r="AA29" s="48"/>
      <c r="AB29" s="44"/>
      <c r="AC29" s="44">
        <f t="shared" si="6"/>
        <v>56546.892281249995</v>
      </c>
      <c r="AD29" s="26"/>
      <c r="AE29" s="44"/>
      <c r="AF29" s="44"/>
      <c r="AG29" s="181"/>
      <c r="AH29" s="44"/>
      <c r="AI29" s="44">
        <f>S29*0.4</f>
        <v>75395.856375000003</v>
      </c>
      <c r="AJ29" s="44"/>
      <c r="AK29" s="44"/>
      <c r="AL29" s="44">
        <f t="shared" si="7"/>
        <v>345917.7286875</v>
      </c>
      <c r="AM29" s="44">
        <f t="shared" si="8"/>
        <v>4151.0127442499997</v>
      </c>
      <c r="AN29" s="204">
        <f t="shared" si="9"/>
        <v>6</v>
      </c>
    </row>
    <row r="30" spans="1:40" s="2" customFormat="1" ht="39" x14ac:dyDescent="0.2">
      <c r="A30" s="56">
        <v>10</v>
      </c>
      <c r="B30" s="58" t="s">
        <v>83</v>
      </c>
      <c r="C30" s="61" t="s">
        <v>145</v>
      </c>
      <c r="D30" s="23" t="s">
        <v>37</v>
      </c>
      <c r="E30" s="26">
        <f t="shared" si="10"/>
        <v>1.125</v>
      </c>
      <c r="F30" s="56" t="s">
        <v>174</v>
      </c>
      <c r="G30" s="23" t="s">
        <v>37</v>
      </c>
      <c r="H30" s="185" t="s">
        <v>418</v>
      </c>
      <c r="I30" s="129">
        <v>5.41</v>
      </c>
      <c r="J30" s="44">
        <v>17697</v>
      </c>
      <c r="K30" s="24">
        <v>1.75</v>
      </c>
      <c r="L30" s="44">
        <f t="shared" si="1"/>
        <v>167546.3475</v>
      </c>
      <c r="M30" s="25">
        <f t="shared" si="2"/>
        <v>18</v>
      </c>
      <c r="N30" s="56">
        <v>18</v>
      </c>
      <c r="O30" s="44">
        <f t="shared" si="3"/>
        <v>188489.64093749999</v>
      </c>
      <c r="P30" s="69"/>
      <c r="Q30" s="44"/>
      <c r="R30" s="25"/>
      <c r="S30" s="44">
        <f t="shared" si="4"/>
        <v>188489.64093749999</v>
      </c>
      <c r="T30" s="44">
        <f t="shared" si="5"/>
        <v>18848.964093750001</v>
      </c>
      <c r="U30" s="44"/>
      <c r="V30" s="72"/>
      <c r="W30" s="44">
        <f t="shared" si="11"/>
        <v>0</v>
      </c>
      <c r="X30" s="72">
        <v>17</v>
      </c>
      <c r="Y30" s="33">
        <v>0.5</v>
      </c>
      <c r="Z30" s="44">
        <f t="shared" si="12"/>
        <v>9401.53125</v>
      </c>
      <c r="AA30" s="48"/>
      <c r="AB30" s="44"/>
      <c r="AC30" s="44">
        <f t="shared" si="6"/>
        <v>56546.892281249995</v>
      </c>
      <c r="AD30" s="26"/>
      <c r="AE30" s="44"/>
      <c r="AF30" s="44"/>
      <c r="AG30" s="181"/>
      <c r="AH30" s="44"/>
      <c r="AI30" s="44">
        <f>S30*0.4</f>
        <v>75395.856375000003</v>
      </c>
      <c r="AJ30" s="44"/>
      <c r="AK30" s="44"/>
      <c r="AL30" s="44">
        <f t="shared" si="7"/>
        <v>348682.8849375</v>
      </c>
      <c r="AM30" s="44">
        <f t="shared" si="8"/>
        <v>4184.19461925</v>
      </c>
      <c r="AN30" s="204">
        <f t="shared" si="9"/>
        <v>1</v>
      </c>
    </row>
    <row r="31" spans="1:40" s="2" customFormat="1" ht="39" x14ac:dyDescent="0.2">
      <c r="A31" s="56">
        <v>11</v>
      </c>
      <c r="B31" s="58" t="s">
        <v>84</v>
      </c>
      <c r="C31" s="61" t="s">
        <v>147</v>
      </c>
      <c r="D31" s="23" t="s">
        <v>37</v>
      </c>
      <c r="E31" s="26">
        <f t="shared" si="10"/>
        <v>1.25</v>
      </c>
      <c r="F31" s="56" t="s">
        <v>174</v>
      </c>
      <c r="G31" s="23" t="s">
        <v>37</v>
      </c>
      <c r="H31" s="185" t="s">
        <v>415</v>
      </c>
      <c r="I31" s="129">
        <v>5.41</v>
      </c>
      <c r="J31" s="44">
        <v>17697</v>
      </c>
      <c r="K31" s="24">
        <v>1.75</v>
      </c>
      <c r="L31" s="44">
        <f t="shared" si="1"/>
        <v>167546.3475</v>
      </c>
      <c r="M31" s="25">
        <f t="shared" si="2"/>
        <v>20</v>
      </c>
      <c r="N31" s="56">
        <v>11</v>
      </c>
      <c r="O31" s="44">
        <f t="shared" si="3"/>
        <v>115188.11390625</v>
      </c>
      <c r="P31" s="69">
        <v>9</v>
      </c>
      <c r="Q31" s="44">
        <f t="shared" si="14"/>
        <v>94244.820468749997</v>
      </c>
      <c r="R31" s="25"/>
      <c r="S31" s="44">
        <f t="shared" si="4"/>
        <v>209432.93437500001</v>
      </c>
      <c r="T31" s="44">
        <f t="shared" si="5"/>
        <v>20943.293437500004</v>
      </c>
      <c r="U31" s="44"/>
      <c r="V31" s="72"/>
      <c r="W31" s="44">
        <f t="shared" si="11"/>
        <v>0</v>
      </c>
      <c r="X31" s="72">
        <v>18</v>
      </c>
      <c r="Y31" s="33">
        <v>0.5</v>
      </c>
      <c r="Z31" s="44">
        <f t="shared" si="12"/>
        <v>9954.5625</v>
      </c>
      <c r="AA31" s="48"/>
      <c r="AB31" s="44"/>
      <c r="AC31" s="44">
        <f t="shared" si="6"/>
        <v>62829.880312499998</v>
      </c>
      <c r="AD31" s="26">
        <v>10</v>
      </c>
      <c r="AE31" s="44">
        <f t="shared" si="13"/>
        <v>4424.25</v>
      </c>
      <c r="AF31" s="44"/>
      <c r="AG31" s="181"/>
      <c r="AH31" s="44"/>
      <c r="AI31" s="44">
        <f>S31*0.4</f>
        <v>83773.173750000016</v>
      </c>
      <c r="AJ31" s="44"/>
      <c r="AK31" s="44"/>
      <c r="AL31" s="44">
        <f t="shared" si="7"/>
        <v>391358.09437500004</v>
      </c>
      <c r="AM31" s="44">
        <f t="shared" si="8"/>
        <v>4696.2971324999999</v>
      </c>
      <c r="AN31" s="204">
        <f t="shared" si="9"/>
        <v>2</v>
      </c>
    </row>
    <row r="32" spans="1:40" s="2" customFormat="1" ht="39" x14ac:dyDescent="0.2">
      <c r="A32" s="56">
        <v>12</v>
      </c>
      <c r="B32" s="60" t="s">
        <v>85</v>
      </c>
      <c r="C32" s="61" t="s">
        <v>148</v>
      </c>
      <c r="D32" s="23" t="s">
        <v>37</v>
      </c>
      <c r="E32" s="26">
        <f t="shared" si="10"/>
        <v>0.5</v>
      </c>
      <c r="F32" s="56" t="s">
        <v>175</v>
      </c>
      <c r="G32" s="23"/>
      <c r="H32" s="185" t="s">
        <v>377</v>
      </c>
      <c r="I32" s="129">
        <v>4.38</v>
      </c>
      <c r="J32" s="44">
        <v>17697</v>
      </c>
      <c r="K32" s="24">
        <v>1.75</v>
      </c>
      <c r="L32" s="44">
        <f t="shared" si="1"/>
        <v>135647.505</v>
      </c>
      <c r="M32" s="25">
        <f t="shared" si="2"/>
        <v>8</v>
      </c>
      <c r="N32" s="56">
        <v>8</v>
      </c>
      <c r="O32" s="44">
        <f t="shared" si="3"/>
        <v>67823.752500000002</v>
      </c>
      <c r="P32" s="69"/>
      <c r="Q32" s="44"/>
      <c r="R32" s="25"/>
      <c r="S32" s="44">
        <f t="shared" si="4"/>
        <v>67823.752500000002</v>
      </c>
      <c r="T32" s="44">
        <f t="shared" si="5"/>
        <v>6782.375250000001</v>
      </c>
      <c r="U32" s="44"/>
      <c r="V32" s="72"/>
      <c r="W32" s="44">
        <f t="shared" si="11"/>
        <v>0</v>
      </c>
      <c r="X32" s="72">
        <v>8</v>
      </c>
      <c r="Y32" s="33">
        <v>0.5</v>
      </c>
      <c r="Z32" s="44">
        <f t="shared" si="12"/>
        <v>4424.25</v>
      </c>
      <c r="AA32" s="48"/>
      <c r="AB32" s="44"/>
      <c r="AC32" s="44">
        <f t="shared" si="6"/>
        <v>20347.125749999999</v>
      </c>
      <c r="AD32" s="26">
        <v>8</v>
      </c>
      <c r="AE32" s="44">
        <f t="shared" si="13"/>
        <v>3539.4</v>
      </c>
      <c r="AF32" s="44"/>
      <c r="AG32" s="181"/>
      <c r="AH32" s="44"/>
      <c r="AI32" s="44"/>
      <c r="AJ32" s="44"/>
      <c r="AK32" s="44"/>
      <c r="AL32" s="44">
        <f t="shared" si="7"/>
        <v>102916.9035</v>
      </c>
      <c r="AM32" s="44">
        <f t="shared" si="8"/>
        <v>1235.0028419999999</v>
      </c>
      <c r="AN32" s="204">
        <f t="shared" si="9"/>
        <v>0</v>
      </c>
    </row>
    <row r="33" spans="1:40" s="2" customFormat="1" ht="39" x14ac:dyDescent="0.2">
      <c r="A33" s="56">
        <v>13</v>
      </c>
      <c r="B33" s="58" t="s">
        <v>86</v>
      </c>
      <c r="C33" s="61" t="s">
        <v>149</v>
      </c>
      <c r="D33" s="23" t="s">
        <v>37</v>
      </c>
      <c r="E33" s="26">
        <f t="shared" si="10"/>
        <v>1</v>
      </c>
      <c r="F33" s="56" t="s">
        <v>174</v>
      </c>
      <c r="G33" s="23" t="s">
        <v>37</v>
      </c>
      <c r="H33" s="185" t="s">
        <v>419</v>
      </c>
      <c r="I33" s="129">
        <v>5.41</v>
      </c>
      <c r="J33" s="44">
        <v>17697</v>
      </c>
      <c r="K33" s="24">
        <v>1.75</v>
      </c>
      <c r="L33" s="44">
        <f t="shared" si="1"/>
        <v>167546.3475</v>
      </c>
      <c r="M33" s="25">
        <f t="shared" si="2"/>
        <v>16</v>
      </c>
      <c r="N33" s="56">
        <v>13</v>
      </c>
      <c r="O33" s="44">
        <f t="shared" si="3"/>
        <v>136131.40734375</v>
      </c>
      <c r="P33" s="69">
        <v>3</v>
      </c>
      <c r="Q33" s="44">
        <f t="shared" si="14"/>
        <v>31414.940156249999</v>
      </c>
      <c r="R33" s="25"/>
      <c r="S33" s="44">
        <f t="shared" si="4"/>
        <v>167546.3475</v>
      </c>
      <c r="T33" s="44">
        <f t="shared" si="5"/>
        <v>16754.634750000001</v>
      </c>
      <c r="U33" s="44"/>
      <c r="V33" s="72"/>
      <c r="W33" s="44">
        <f t="shared" si="11"/>
        <v>0</v>
      </c>
      <c r="X33" s="72"/>
      <c r="Y33" s="33"/>
      <c r="Z33" s="44">
        <f t="shared" si="12"/>
        <v>0</v>
      </c>
      <c r="AA33" s="48"/>
      <c r="AB33" s="44"/>
      <c r="AC33" s="44">
        <f t="shared" si="6"/>
        <v>50263.90425</v>
      </c>
      <c r="AD33" s="26"/>
      <c r="AE33" s="44"/>
      <c r="AF33" s="44"/>
      <c r="AG33" s="181"/>
      <c r="AH33" s="44"/>
      <c r="AI33" s="44"/>
      <c r="AJ33" s="44"/>
      <c r="AK33" s="44"/>
      <c r="AL33" s="44">
        <f t="shared" si="7"/>
        <v>234564.88650000002</v>
      </c>
      <c r="AM33" s="44">
        <f t="shared" si="8"/>
        <v>2814.7786380000002</v>
      </c>
      <c r="AN33" s="204">
        <f t="shared" si="9"/>
        <v>16</v>
      </c>
    </row>
    <row r="34" spans="1:40" s="2" customFormat="1" ht="39" x14ac:dyDescent="0.2">
      <c r="A34" s="56">
        <v>14</v>
      </c>
      <c r="B34" s="58" t="s">
        <v>87</v>
      </c>
      <c r="C34" s="61" t="s">
        <v>145</v>
      </c>
      <c r="D34" s="23" t="s">
        <v>37</v>
      </c>
      <c r="E34" s="26">
        <f t="shared" si="10"/>
        <v>1.125</v>
      </c>
      <c r="F34" s="56" t="s">
        <v>176</v>
      </c>
      <c r="G34" s="23" t="s">
        <v>37</v>
      </c>
      <c r="H34" s="185" t="s">
        <v>420</v>
      </c>
      <c r="I34" s="129">
        <v>5.41</v>
      </c>
      <c r="J34" s="44">
        <v>17697</v>
      </c>
      <c r="K34" s="24">
        <v>1.75</v>
      </c>
      <c r="L34" s="44">
        <f t="shared" si="1"/>
        <v>167546.3475</v>
      </c>
      <c r="M34" s="25">
        <f t="shared" si="2"/>
        <v>18</v>
      </c>
      <c r="N34" s="56">
        <v>6</v>
      </c>
      <c r="O34" s="44">
        <f t="shared" si="3"/>
        <v>62829.880312499998</v>
      </c>
      <c r="P34" s="69">
        <v>12</v>
      </c>
      <c r="Q34" s="44">
        <f t="shared" si="14"/>
        <v>125659.760625</v>
      </c>
      <c r="R34" s="25"/>
      <c r="S34" s="44">
        <f t="shared" si="4"/>
        <v>188489.64093749999</v>
      </c>
      <c r="T34" s="44">
        <f t="shared" si="5"/>
        <v>18848.964093750001</v>
      </c>
      <c r="U34" s="44"/>
      <c r="V34" s="72"/>
      <c r="W34" s="44">
        <f t="shared" si="11"/>
        <v>0</v>
      </c>
      <c r="X34" s="72">
        <v>18</v>
      </c>
      <c r="Y34" s="33">
        <v>0.5</v>
      </c>
      <c r="Z34" s="44">
        <f t="shared" si="12"/>
        <v>9954.5625</v>
      </c>
      <c r="AA34" s="48"/>
      <c r="AB34" s="44"/>
      <c r="AC34" s="44">
        <f t="shared" si="6"/>
        <v>56546.892281249995</v>
      </c>
      <c r="AD34" s="26"/>
      <c r="AE34" s="44"/>
      <c r="AF34" s="44"/>
      <c r="AG34" s="181"/>
      <c r="AH34" s="44"/>
      <c r="AI34" s="44">
        <f>S34*0.4</f>
        <v>75395.856375000003</v>
      </c>
      <c r="AJ34" s="44"/>
      <c r="AK34" s="44"/>
      <c r="AL34" s="44">
        <f t="shared" si="7"/>
        <v>349235.9161875</v>
      </c>
      <c r="AM34" s="44">
        <f t="shared" si="8"/>
        <v>4190.83099425</v>
      </c>
      <c r="AN34" s="204">
        <f t="shared" si="9"/>
        <v>0</v>
      </c>
    </row>
    <row r="35" spans="1:40" s="2" customFormat="1" ht="39" x14ac:dyDescent="0.2">
      <c r="A35" s="56">
        <v>15</v>
      </c>
      <c r="B35" s="59" t="s">
        <v>88</v>
      </c>
      <c r="C35" s="61" t="s">
        <v>150</v>
      </c>
      <c r="D35" s="23" t="s">
        <v>37</v>
      </c>
      <c r="E35" s="26">
        <f t="shared" si="10"/>
        <v>1.3125</v>
      </c>
      <c r="F35" s="56" t="s">
        <v>174</v>
      </c>
      <c r="G35" s="23" t="s">
        <v>37</v>
      </c>
      <c r="H35" s="185" t="s">
        <v>421</v>
      </c>
      <c r="I35" s="129">
        <v>5.41</v>
      </c>
      <c r="J35" s="44">
        <v>17697</v>
      </c>
      <c r="K35" s="24">
        <v>1.75</v>
      </c>
      <c r="L35" s="44">
        <f t="shared" si="1"/>
        <v>167546.3475</v>
      </c>
      <c r="M35" s="25">
        <f t="shared" si="2"/>
        <v>21</v>
      </c>
      <c r="N35" s="56">
        <v>9</v>
      </c>
      <c r="O35" s="44">
        <f t="shared" si="3"/>
        <v>94244.820468749997</v>
      </c>
      <c r="P35" s="69">
        <v>12</v>
      </c>
      <c r="Q35" s="44">
        <f t="shared" si="14"/>
        <v>125659.760625</v>
      </c>
      <c r="R35" s="25"/>
      <c r="S35" s="44">
        <f t="shared" si="4"/>
        <v>219904.58109374999</v>
      </c>
      <c r="T35" s="44">
        <f t="shared" si="5"/>
        <v>21990.458109375002</v>
      </c>
      <c r="U35" s="44"/>
      <c r="V35" s="72"/>
      <c r="W35" s="44">
        <f t="shared" si="11"/>
        <v>0</v>
      </c>
      <c r="X35" s="72"/>
      <c r="Y35" s="33"/>
      <c r="Z35" s="44"/>
      <c r="AA35" s="48"/>
      <c r="AB35" s="44"/>
      <c r="AC35" s="44">
        <f t="shared" si="6"/>
        <v>65971.374328124992</v>
      </c>
      <c r="AD35" s="26"/>
      <c r="AE35" s="44"/>
      <c r="AF35" s="44"/>
      <c r="AG35" s="181"/>
      <c r="AH35" s="44"/>
      <c r="AI35" s="44">
        <f>S35*0.4</f>
        <v>87961.832437500008</v>
      </c>
      <c r="AJ35" s="44"/>
      <c r="AK35" s="44"/>
      <c r="AL35" s="44">
        <f t="shared" si="7"/>
        <v>395828.24596874998</v>
      </c>
      <c r="AM35" s="44">
        <f t="shared" si="8"/>
        <v>4749.9389516249994</v>
      </c>
      <c r="AN35" s="204">
        <f t="shared" si="9"/>
        <v>21</v>
      </c>
    </row>
    <row r="36" spans="1:40" s="2" customFormat="1" ht="39" x14ac:dyDescent="0.2">
      <c r="A36" s="56">
        <v>16</v>
      </c>
      <c r="B36" s="60" t="s">
        <v>89</v>
      </c>
      <c r="C36" s="61" t="s">
        <v>148</v>
      </c>
      <c r="D36" s="23" t="s">
        <v>37</v>
      </c>
      <c r="E36" s="26">
        <f t="shared" si="10"/>
        <v>1.125</v>
      </c>
      <c r="F36" s="56" t="s">
        <v>178</v>
      </c>
      <c r="G36" s="23" t="s">
        <v>69</v>
      </c>
      <c r="H36" s="185" t="s">
        <v>422</v>
      </c>
      <c r="I36" s="130">
        <v>4.6500000000000004</v>
      </c>
      <c r="J36" s="44">
        <v>17697</v>
      </c>
      <c r="K36" s="24">
        <v>1.75</v>
      </c>
      <c r="L36" s="44">
        <f t="shared" si="1"/>
        <v>144009.33750000002</v>
      </c>
      <c r="M36" s="25">
        <f t="shared" si="2"/>
        <v>18</v>
      </c>
      <c r="N36" s="56">
        <v>18</v>
      </c>
      <c r="O36" s="44">
        <f t="shared" si="3"/>
        <v>162010.50468750001</v>
      </c>
      <c r="P36" s="69"/>
      <c r="Q36" s="44"/>
      <c r="R36" s="25"/>
      <c r="S36" s="44">
        <f t="shared" si="4"/>
        <v>162010.50468750001</v>
      </c>
      <c r="T36" s="44">
        <f t="shared" si="5"/>
        <v>16201.050468750002</v>
      </c>
      <c r="U36" s="44"/>
      <c r="V36" s="72"/>
      <c r="W36" s="44">
        <f t="shared" si="11"/>
        <v>0</v>
      </c>
      <c r="X36" s="72">
        <v>13</v>
      </c>
      <c r="Y36" s="33">
        <v>0.5</v>
      </c>
      <c r="Z36" s="44">
        <f t="shared" si="12"/>
        <v>7189.40625</v>
      </c>
      <c r="AA36" s="48"/>
      <c r="AB36" s="44"/>
      <c r="AC36" s="44">
        <f t="shared" si="6"/>
        <v>48603.151406249999</v>
      </c>
      <c r="AD36" s="26">
        <v>18</v>
      </c>
      <c r="AE36" s="44">
        <f t="shared" si="13"/>
        <v>7963.6500000000005</v>
      </c>
      <c r="AF36" s="44"/>
      <c r="AG36" s="181"/>
      <c r="AH36" s="181">
        <f>S36*35%</f>
        <v>56703.676640625003</v>
      </c>
      <c r="AI36" s="44"/>
      <c r="AJ36" s="44"/>
      <c r="AK36" s="44"/>
      <c r="AL36" s="44">
        <f t="shared" si="7"/>
        <v>298671.439453125</v>
      </c>
      <c r="AM36" s="44">
        <f t="shared" si="8"/>
        <v>3584.0572734375</v>
      </c>
      <c r="AN36" s="204">
        <f t="shared" si="9"/>
        <v>5</v>
      </c>
    </row>
    <row r="37" spans="1:40" s="2" customFormat="1" ht="39" x14ac:dyDescent="0.2">
      <c r="A37" s="56">
        <v>17</v>
      </c>
      <c r="B37" s="59" t="s">
        <v>90</v>
      </c>
      <c r="C37" s="61" t="s">
        <v>145</v>
      </c>
      <c r="D37" s="23" t="s">
        <v>37</v>
      </c>
      <c r="E37" s="26">
        <f t="shared" si="10"/>
        <v>1.125</v>
      </c>
      <c r="F37" s="56" t="s">
        <v>174</v>
      </c>
      <c r="G37" s="23" t="s">
        <v>37</v>
      </c>
      <c r="H37" s="185" t="s">
        <v>423</v>
      </c>
      <c r="I37" s="129">
        <v>5.41</v>
      </c>
      <c r="J37" s="44">
        <v>17697</v>
      </c>
      <c r="K37" s="24">
        <v>1.75</v>
      </c>
      <c r="L37" s="44">
        <f t="shared" si="1"/>
        <v>167546.3475</v>
      </c>
      <c r="M37" s="25">
        <f t="shared" si="2"/>
        <v>18</v>
      </c>
      <c r="N37" s="56">
        <v>18</v>
      </c>
      <c r="O37" s="44">
        <f t="shared" si="3"/>
        <v>188489.64093749999</v>
      </c>
      <c r="P37" s="69"/>
      <c r="Q37" s="44"/>
      <c r="R37" s="25"/>
      <c r="S37" s="44">
        <f t="shared" si="4"/>
        <v>188489.64093749999</v>
      </c>
      <c r="T37" s="44">
        <f t="shared" si="5"/>
        <v>18848.964093750001</v>
      </c>
      <c r="U37" s="44"/>
      <c r="V37" s="72"/>
      <c r="W37" s="73">
        <f t="shared" si="11"/>
        <v>0</v>
      </c>
      <c r="X37" s="72">
        <v>12</v>
      </c>
      <c r="Y37" s="33">
        <v>0.5</v>
      </c>
      <c r="Z37" s="44">
        <f t="shared" si="12"/>
        <v>6636.375</v>
      </c>
      <c r="AA37" s="48"/>
      <c r="AB37" s="44"/>
      <c r="AC37" s="44">
        <f t="shared" si="6"/>
        <v>56546.892281249995</v>
      </c>
      <c r="AD37" s="26"/>
      <c r="AE37" s="44">
        <f t="shared" si="13"/>
        <v>0</v>
      </c>
      <c r="AF37" s="44"/>
      <c r="AG37" s="181"/>
      <c r="AH37" s="44"/>
      <c r="AI37" s="44">
        <f>S37*0.4</f>
        <v>75395.856375000003</v>
      </c>
      <c r="AJ37" s="44"/>
      <c r="AK37" s="44"/>
      <c r="AL37" s="44">
        <f t="shared" si="7"/>
        <v>345917.7286875</v>
      </c>
      <c r="AM37" s="44">
        <f t="shared" si="8"/>
        <v>4151.0127442499997</v>
      </c>
      <c r="AN37" s="204">
        <f t="shared" si="9"/>
        <v>6</v>
      </c>
    </row>
    <row r="38" spans="1:40" s="2" customFormat="1" ht="65" x14ac:dyDescent="0.2">
      <c r="A38" s="56">
        <v>18</v>
      </c>
      <c r="B38" s="61" t="s">
        <v>91</v>
      </c>
      <c r="C38" s="61" t="s">
        <v>151</v>
      </c>
      <c r="D38" s="23" t="s">
        <v>37</v>
      </c>
      <c r="E38" s="26">
        <f t="shared" si="10"/>
        <v>1.25</v>
      </c>
      <c r="F38" s="56" t="s">
        <v>175</v>
      </c>
      <c r="G38" s="23"/>
      <c r="H38" s="185" t="s">
        <v>424</v>
      </c>
      <c r="I38" s="129">
        <v>4.0999999999999996</v>
      </c>
      <c r="J38" s="44">
        <v>17697</v>
      </c>
      <c r="K38" s="24">
        <v>1.75</v>
      </c>
      <c r="L38" s="44">
        <f t="shared" si="1"/>
        <v>126975.97499999999</v>
      </c>
      <c r="M38" s="25">
        <f t="shared" si="2"/>
        <v>20</v>
      </c>
      <c r="N38" s="56">
        <v>20</v>
      </c>
      <c r="O38" s="44">
        <f t="shared" si="3"/>
        <v>158719.96875</v>
      </c>
      <c r="P38" s="69"/>
      <c r="Q38" s="44"/>
      <c r="R38" s="25"/>
      <c r="S38" s="44">
        <f t="shared" si="4"/>
        <v>158719.96875</v>
      </c>
      <c r="T38" s="44">
        <f t="shared" si="5"/>
        <v>15871.996875000001</v>
      </c>
      <c r="U38" s="44"/>
      <c r="V38" s="72"/>
      <c r="W38" s="44">
        <f t="shared" si="11"/>
        <v>0</v>
      </c>
      <c r="X38" s="72"/>
      <c r="Y38" s="33"/>
      <c r="Z38" s="44"/>
      <c r="AA38" s="48"/>
      <c r="AB38" s="44">
        <f>SUM(J38*2)</f>
        <v>35394</v>
      </c>
      <c r="AC38" s="44">
        <f t="shared" si="6"/>
        <v>47615.990624999999</v>
      </c>
      <c r="AD38" s="26">
        <v>20</v>
      </c>
      <c r="AE38" s="44">
        <f t="shared" si="13"/>
        <v>8848.5</v>
      </c>
      <c r="AF38" s="44"/>
      <c r="AG38" s="181"/>
      <c r="AH38" s="44"/>
      <c r="AI38" s="44"/>
      <c r="AJ38" s="44"/>
      <c r="AK38" s="44"/>
      <c r="AL38" s="44">
        <f t="shared" si="7"/>
        <v>266450.45624999999</v>
      </c>
      <c r="AM38" s="44">
        <f t="shared" si="8"/>
        <v>3197.4054749999996</v>
      </c>
      <c r="AN38" s="204">
        <f t="shared" si="9"/>
        <v>20</v>
      </c>
    </row>
    <row r="39" spans="1:40" s="2" customFormat="1" ht="39" x14ac:dyDescent="0.2">
      <c r="A39" s="56">
        <v>19</v>
      </c>
      <c r="B39" s="59" t="s">
        <v>92</v>
      </c>
      <c r="C39" s="61" t="s">
        <v>152</v>
      </c>
      <c r="D39" s="23" t="s">
        <v>37</v>
      </c>
      <c r="E39" s="26">
        <f t="shared" si="10"/>
        <v>0.375</v>
      </c>
      <c r="F39" s="56" t="s">
        <v>176</v>
      </c>
      <c r="G39" s="23" t="s">
        <v>37</v>
      </c>
      <c r="H39" s="186" t="s">
        <v>425</v>
      </c>
      <c r="I39" s="129">
        <v>5.16</v>
      </c>
      <c r="J39" s="44">
        <v>17697</v>
      </c>
      <c r="K39" s="24">
        <v>1.75</v>
      </c>
      <c r="L39" s="44">
        <f t="shared" si="1"/>
        <v>159803.91</v>
      </c>
      <c r="M39" s="25">
        <f t="shared" si="2"/>
        <v>6</v>
      </c>
      <c r="N39" s="56">
        <v>3</v>
      </c>
      <c r="O39" s="44">
        <f t="shared" si="3"/>
        <v>29963.233124999999</v>
      </c>
      <c r="P39" s="69">
        <v>3</v>
      </c>
      <c r="Q39" s="44">
        <f t="shared" si="14"/>
        <v>29963.233124999999</v>
      </c>
      <c r="R39" s="25"/>
      <c r="S39" s="44">
        <f t="shared" si="4"/>
        <v>59926.466249999998</v>
      </c>
      <c r="T39" s="44">
        <f t="shared" si="5"/>
        <v>5992.6466250000003</v>
      </c>
      <c r="U39" s="44"/>
      <c r="V39" s="72"/>
      <c r="W39" s="44">
        <f t="shared" si="11"/>
        <v>0</v>
      </c>
      <c r="X39" s="72"/>
      <c r="Y39" s="33"/>
      <c r="Z39" s="44"/>
      <c r="AA39" s="48"/>
      <c r="AB39" s="44"/>
      <c r="AC39" s="44">
        <f t="shared" si="6"/>
        <v>17977.939875</v>
      </c>
      <c r="AD39" s="26"/>
      <c r="AE39" s="44"/>
      <c r="AF39" s="44"/>
      <c r="AG39" s="181"/>
      <c r="AH39" s="44"/>
      <c r="AI39" s="44">
        <f t="shared" ref="AI39:AI44" si="15">S39*0.4</f>
        <v>23970.586500000001</v>
      </c>
      <c r="AJ39" s="44"/>
      <c r="AK39" s="44"/>
      <c r="AL39" s="44">
        <f t="shared" si="7"/>
        <v>107867.63925000001</v>
      </c>
      <c r="AM39" s="44">
        <f t="shared" si="8"/>
        <v>1294.4116710000001</v>
      </c>
      <c r="AN39" s="204">
        <f t="shared" si="9"/>
        <v>6</v>
      </c>
    </row>
    <row r="40" spans="1:40" s="2" customFormat="1" ht="39" x14ac:dyDescent="0.2">
      <c r="A40" s="56">
        <v>20</v>
      </c>
      <c r="B40" s="58" t="s">
        <v>93</v>
      </c>
      <c r="C40" s="61" t="s">
        <v>146</v>
      </c>
      <c r="D40" s="23" t="s">
        <v>37</v>
      </c>
      <c r="E40" s="26">
        <f t="shared" si="10"/>
        <v>0.5625</v>
      </c>
      <c r="F40" s="56" t="s">
        <v>176</v>
      </c>
      <c r="G40" s="23" t="s">
        <v>37</v>
      </c>
      <c r="H40" s="185" t="s">
        <v>364</v>
      </c>
      <c r="I40" s="129">
        <v>5.24</v>
      </c>
      <c r="J40" s="44">
        <v>17697</v>
      </c>
      <c r="K40" s="24">
        <v>1.75</v>
      </c>
      <c r="L40" s="44">
        <f t="shared" si="1"/>
        <v>162281.49000000002</v>
      </c>
      <c r="M40" s="25">
        <f t="shared" si="2"/>
        <v>9</v>
      </c>
      <c r="N40" s="56">
        <v>9</v>
      </c>
      <c r="O40" s="44">
        <f t="shared" si="3"/>
        <v>91283.338125000009</v>
      </c>
      <c r="P40" s="69"/>
      <c r="Q40" s="44"/>
      <c r="R40" s="25"/>
      <c r="S40" s="44">
        <f t="shared" si="4"/>
        <v>91283.338125000009</v>
      </c>
      <c r="T40" s="44">
        <f t="shared" si="5"/>
        <v>9128.3338125000009</v>
      </c>
      <c r="U40" s="44"/>
      <c r="V40" s="72"/>
      <c r="W40" s="44">
        <f t="shared" si="11"/>
        <v>0</v>
      </c>
      <c r="X40" s="72">
        <v>9</v>
      </c>
      <c r="Y40" s="33">
        <v>0.5</v>
      </c>
      <c r="Z40" s="44">
        <f t="shared" si="12"/>
        <v>4977.28125</v>
      </c>
      <c r="AA40" s="48"/>
      <c r="AB40" s="44"/>
      <c r="AC40" s="44">
        <f t="shared" si="6"/>
        <v>27385.001437500003</v>
      </c>
      <c r="AD40" s="26"/>
      <c r="AE40" s="44"/>
      <c r="AF40" s="44"/>
      <c r="AG40" s="181"/>
      <c r="AH40" s="44"/>
      <c r="AI40" s="44">
        <f t="shared" si="15"/>
        <v>36513.335250000004</v>
      </c>
      <c r="AJ40" s="44"/>
      <c r="AK40" s="44"/>
      <c r="AL40" s="44">
        <f t="shared" si="7"/>
        <v>169287.28987500002</v>
      </c>
      <c r="AM40" s="44">
        <f t="shared" si="8"/>
        <v>2031.4474785000002</v>
      </c>
      <c r="AN40" s="204">
        <f t="shared" si="9"/>
        <v>0</v>
      </c>
    </row>
    <row r="41" spans="1:40" s="2" customFormat="1" ht="28" x14ac:dyDescent="0.2">
      <c r="A41" s="56">
        <v>21</v>
      </c>
      <c r="B41" s="58" t="s">
        <v>94</v>
      </c>
      <c r="C41" s="61" t="s">
        <v>153</v>
      </c>
      <c r="D41" s="23" t="s">
        <v>37</v>
      </c>
      <c r="E41" s="26">
        <f t="shared" si="10"/>
        <v>1.3125</v>
      </c>
      <c r="F41" s="56" t="s">
        <v>176</v>
      </c>
      <c r="G41" s="23" t="s">
        <v>37</v>
      </c>
      <c r="H41" s="185" t="s">
        <v>426</v>
      </c>
      <c r="I41" s="129">
        <v>5.32</v>
      </c>
      <c r="J41" s="44">
        <v>17697</v>
      </c>
      <c r="K41" s="24">
        <v>1.75</v>
      </c>
      <c r="L41" s="44">
        <f t="shared" si="1"/>
        <v>164759.07</v>
      </c>
      <c r="M41" s="25">
        <f t="shared" si="2"/>
        <v>21</v>
      </c>
      <c r="N41" s="56">
        <v>3</v>
      </c>
      <c r="O41" s="44">
        <f t="shared" si="3"/>
        <v>30892.325625000001</v>
      </c>
      <c r="P41" s="69">
        <v>18</v>
      </c>
      <c r="Q41" s="44">
        <f t="shared" si="14"/>
        <v>185353.95375000002</v>
      </c>
      <c r="R41" s="25"/>
      <c r="S41" s="44">
        <f t="shared" si="4"/>
        <v>216246.27937500001</v>
      </c>
      <c r="T41" s="44">
        <f t="shared" si="5"/>
        <v>21624.627937500001</v>
      </c>
      <c r="U41" s="44"/>
      <c r="V41" s="72"/>
      <c r="W41" s="44">
        <f t="shared" si="11"/>
        <v>0</v>
      </c>
      <c r="X41" s="72"/>
      <c r="Y41" s="33"/>
      <c r="Z41" s="44"/>
      <c r="AA41" s="48"/>
      <c r="AB41" s="44"/>
      <c r="AC41" s="44">
        <f t="shared" si="6"/>
        <v>64873.883812500004</v>
      </c>
      <c r="AD41" s="26"/>
      <c r="AE41" s="44"/>
      <c r="AF41" s="44">
        <f>SUM(J41*0.2)</f>
        <v>3539.4</v>
      </c>
      <c r="AG41" s="181"/>
      <c r="AH41" s="44"/>
      <c r="AI41" s="44">
        <f t="shared" si="15"/>
        <v>86498.511750000005</v>
      </c>
      <c r="AJ41" s="44"/>
      <c r="AK41" s="44"/>
      <c r="AL41" s="44">
        <f t="shared" si="7"/>
        <v>392782.70287500008</v>
      </c>
      <c r="AM41" s="44">
        <f t="shared" si="8"/>
        <v>4713.3924345000014</v>
      </c>
      <c r="AN41" s="204">
        <f t="shared" si="9"/>
        <v>21</v>
      </c>
    </row>
    <row r="42" spans="1:40" s="2" customFormat="1" ht="65" x14ac:dyDescent="0.2">
      <c r="A42" s="56">
        <v>22</v>
      </c>
      <c r="B42" s="58" t="s">
        <v>95</v>
      </c>
      <c r="C42" s="61" t="s">
        <v>154</v>
      </c>
      <c r="D42" s="23" t="s">
        <v>37</v>
      </c>
      <c r="E42" s="26">
        <f t="shared" si="10"/>
        <v>0.5625</v>
      </c>
      <c r="F42" s="56" t="s">
        <v>176</v>
      </c>
      <c r="G42" s="23" t="s">
        <v>37</v>
      </c>
      <c r="H42" s="185" t="s">
        <v>427</v>
      </c>
      <c r="I42" s="129">
        <v>5.32</v>
      </c>
      <c r="J42" s="44">
        <v>17697</v>
      </c>
      <c r="K42" s="24">
        <v>1.75</v>
      </c>
      <c r="L42" s="44">
        <f t="shared" si="1"/>
        <v>164759.07</v>
      </c>
      <c r="M42" s="25">
        <f t="shared" si="2"/>
        <v>9</v>
      </c>
      <c r="N42" s="56"/>
      <c r="O42" s="44"/>
      <c r="P42" s="69">
        <v>9</v>
      </c>
      <c r="Q42" s="44">
        <f t="shared" si="14"/>
        <v>92676.976875000008</v>
      </c>
      <c r="R42" s="25"/>
      <c r="S42" s="44">
        <f t="shared" si="4"/>
        <v>92676.976875000008</v>
      </c>
      <c r="T42" s="44">
        <f t="shared" si="5"/>
        <v>9267.6976875000018</v>
      </c>
      <c r="U42" s="44"/>
      <c r="V42" s="72"/>
      <c r="W42" s="44">
        <f t="shared" si="11"/>
        <v>0</v>
      </c>
      <c r="X42" s="72"/>
      <c r="Y42" s="33"/>
      <c r="Z42" s="44"/>
      <c r="AA42" s="48"/>
      <c r="AB42" s="44"/>
      <c r="AC42" s="44">
        <f t="shared" si="6"/>
        <v>27803.0930625</v>
      </c>
      <c r="AD42" s="26"/>
      <c r="AE42" s="44"/>
      <c r="AF42" s="44">
        <f>SUM(J42*0.2)</f>
        <v>3539.4</v>
      </c>
      <c r="AG42" s="181"/>
      <c r="AH42" s="44"/>
      <c r="AI42" s="44">
        <f t="shared" si="15"/>
        <v>37070.790750000007</v>
      </c>
      <c r="AJ42" s="44"/>
      <c r="AK42" s="44"/>
      <c r="AL42" s="44">
        <f t="shared" si="7"/>
        <v>170357.95837500002</v>
      </c>
      <c r="AM42" s="44">
        <f t="shared" si="8"/>
        <v>2044.2955005000001</v>
      </c>
      <c r="AN42" s="204">
        <f t="shared" si="9"/>
        <v>9</v>
      </c>
    </row>
    <row r="43" spans="1:40" s="2" customFormat="1" ht="39" x14ac:dyDescent="0.2">
      <c r="A43" s="56">
        <v>23</v>
      </c>
      <c r="B43" s="58" t="s">
        <v>96</v>
      </c>
      <c r="C43" s="61" t="s">
        <v>155</v>
      </c>
      <c r="D43" s="23" t="s">
        <v>37</v>
      </c>
      <c r="E43" s="26">
        <f t="shared" si="10"/>
        <v>1.3125</v>
      </c>
      <c r="F43" s="56" t="s">
        <v>176</v>
      </c>
      <c r="G43" s="23" t="s">
        <v>37</v>
      </c>
      <c r="H43" s="185" t="s">
        <v>428</v>
      </c>
      <c r="I43" s="129">
        <v>5.32</v>
      </c>
      <c r="J43" s="44">
        <v>17697</v>
      </c>
      <c r="K43" s="24">
        <v>1.75</v>
      </c>
      <c r="L43" s="44">
        <f t="shared" si="1"/>
        <v>164759.07</v>
      </c>
      <c r="M43" s="25">
        <f t="shared" si="2"/>
        <v>21</v>
      </c>
      <c r="N43" s="56">
        <v>15</v>
      </c>
      <c r="O43" s="44">
        <f t="shared" si="3"/>
        <v>154461.62812500002</v>
      </c>
      <c r="P43" s="69">
        <v>6</v>
      </c>
      <c r="Q43" s="44">
        <f t="shared" si="14"/>
        <v>61784.651250000003</v>
      </c>
      <c r="R43" s="25"/>
      <c r="S43" s="44">
        <f t="shared" si="4"/>
        <v>216246.27937500001</v>
      </c>
      <c r="T43" s="44">
        <f t="shared" si="5"/>
        <v>21624.627937500001</v>
      </c>
      <c r="U43" s="44"/>
      <c r="V43" s="72"/>
      <c r="W43" s="73">
        <f t="shared" si="11"/>
        <v>0</v>
      </c>
      <c r="X43" s="72"/>
      <c r="Y43" s="74"/>
      <c r="Z43" s="44"/>
      <c r="AA43" s="48"/>
      <c r="AB43" s="44"/>
      <c r="AC43" s="44">
        <f t="shared" si="6"/>
        <v>64873.883812500004</v>
      </c>
      <c r="AD43" s="26">
        <v>21</v>
      </c>
      <c r="AE43" s="44">
        <f t="shared" si="13"/>
        <v>9290.9250000000011</v>
      </c>
      <c r="AF43" s="44"/>
      <c r="AG43" s="181"/>
      <c r="AH43" s="44"/>
      <c r="AI43" s="44">
        <f t="shared" si="15"/>
        <v>86498.511750000005</v>
      </c>
      <c r="AJ43" s="44"/>
      <c r="AK43" s="44"/>
      <c r="AL43" s="44">
        <f t="shared" si="7"/>
        <v>398534.22787499998</v>
      </c>
      <c r="AM43" s="44">
        <f t="shared" si="8"/>
        <v>4782.4107345000002</v>
      </c>
      <c r="AN43" s="204">
        <f t="shared" si="9"/>
        <v>21</v>
      </c>
    </row>
    <row r="44" spans="1:40" s="2" customFormat="1" ht="39" x14ac:dyDescent="0.2">
      <c r="A44" s="56">
        <v>24</v>
      </c>
      <c r="B44" s="58" t="s">
        <v>97</v>
      </c>
      <c r="C44" s="61" t="s">
        <v>156</v>
      </c>
      <c r="D44" s="23" t="s">
        <v>37</v>
      </c>
      <c r="E44" s="26">
        <f t="shared" si="10"/>
        <v>1.375</v>
      </c>
      <c r="F44" s="56" t="s">
        <v>176</v>
      </c>
      <c r="G44" s="23" t="s">
        <v>37</v>
      </c>
      <c r="H44" s="185" t="s">
        <v>429</v>
      </c>
      <c r="I44" s="129">
        <v>5.32</v>
      </c>
      <c r="J44" s="44">
        <v>17697</v>
      </c>
      <c r="K44" s="24">
        <v>1.75</v>
      </c>
      <c r="L44" s="44">
        <f t="shared" si="1"/>
        <v>164759.07</v>
      </c>
      <c r="M44" s="25">
        <f t="shared" si="2"/>
        <v>22</v>
      </c>
      <c r="N44" s="56">
        <v>18</v>
      </c>
      <c r="O44" s="44">
        <f t="shared" si="3"/>
        <v>185353.95375000002</v>
      </c>
      <c r="P44" s="69">
        <v>4</v>
      </c>
      <c r="Q44" s="44">
        <f t="shared" si="14"/>
        <v>41189.767500000002</v>
      </c>
      <c r="R44" s="25"/>
      <c r="S44" s="44">
        <f t="shared" si="4"/>
        <v>226543.72125</v>
      </c>
      <c r="T44" s="44">
        <f t="shared" si="5"/>
        <v>22654.372125000002</v>
      </c>
      <c r="U44" s="44"/>
      <c r="V44" s="72"/>
      <c r="W44" s="44">
        <f t="shared" si="11"/>
        <v>0</v>
      </c>
      <c r="X44" s="72">
        <v>22</v>
      </c>
      <c r="Y44" s="33">
        <v>0.5</v>
      </c>
      <c r="Z44" s="44">
        <f t="shared" si="12"/>
        <v>12166.6875</v>
      </c>
      <c r="AA44" s="48"/>
      <c r="AB44" s="44">
        <f>SUM(J44*2)</f>
        <v>35394</v>
      </c>
      <c r="AC44" s="44">
        <f t="shared" si="6"/>
        <v>67963.116374999998</v>
      </c>
      <c r="AD44" s="26">
        <v>22</v>
      </c>
      <c r="AE44" s="44">
        <f t="shared" si="13"/>
        <v>9733.35</v>
      </c>
      <c r="AF44" s="44">
        <f>SUM(J44*0.2)</f>
        <v>3539.4</v>
      </c>
      <c r="AG44" s="181"/>
      <c r="AH44" s="44"/>
      <c r="AI44" s="44">
        <f t="shared" si="15"/>
        <v>90617.488500000007</v>
      </c>
      <c r="AJ44" s="44"/>
      <c r="AK44" s="44"/>
      <c r="AL44" s="44">
        <f t="shared" si="7"/>
        <v>468612.13575000002</v>
      </c>
      <c r="AM44" s="44">
        <f t="shared" si="8"/>
        <v>5623.3456290000004</v>
      </c>
      <c r="AN44" s="204">
        <f t="shared" si="9"/>
        <v>0</v>
      </c>
    </row>
    <row r="45" spans="1:40" s="2" customFormat="1" ht="39" x14ac:dyDescent="0.2">
      <c r="A45" s="56">
        <v>25</v>
      </c>
      <c r="B45" s="62" t="s">
        <v>98</v>
      </c>
      <c r="C45" s="61" t="s">
        <v>157</v>
      </c>
      <c r="D45" s="23" t="s">
        <v>37</v>
      </c>
      <c r="E45" s="26">
        <f t="shared" si="10"/>
        <v>1.0625</v>
      </c>
      <c r="F45" s="56" t="s">
        <v>176</v>
      </c>
      <c r="G45" s="23" t="s">
        <v>37</v>
      </c>
      <c r="H45" s="185" t="s">
        <v>430</v>
      </c>
      <c r="I45" s="129">
        <v>5.24</v>
      </c>
      <c r="J45" s="44">
        <v>17697</v>
      </c>
      <c r="K45" s="24">
        <v>1.75</v>
      </c>
      <c r="L45" s="44">
        <f t="shared" si="1"/>
        <v>162281.49000000002</v>
      </c>
      <c r="M45" s="25">
        <f t="shared" si="2"/>
        <v>17</v>
      </c>
      <c r="N45" s="56"/>
      <c r="O45" s="44"/>
      <c r="P45" s="69">
        <v>17</v>
      </c>
      <c r="Q45" s="44">
        <f t="shared" si="14"/>
        <v>172424.08312500003</v>
      </c>
      <c r="R45" s="25"/>
      <c r="S45" s="44">
        <f t="shared" si="4"/>
        <v>172424.08312500003</v>
      </c>
      <c r="T45" s="44">
        <f t="shared" si="5"/>
        <v>17242.408312500003</v>
      </c>
      <c r="U45" s="44"/>
      <c r="V45" s="72"/>
      <c r="W45" s="44">
        <f t="shared" si="11"/>
        <v>0</v>
      </c>
      <c r="X45" s="72">
        <v>17</v>
      </c>
      <c r="Y45" s="33">
        <v>0.5</v>
      </c>
      <c r="Z45" s="44">
        <f t="shared" si="12"/>
        <v>9401.53125</v>
      </c>
      <c r="AA45" s="48">
        <f>3063*10</f>
        <v>30630</v>
      </c>
      <c r="AB45" s="44"/>
      <c r="AC45" s="44">
        <f t="shared" si="6"/>
        <v>51727.22493750001</v>
      </c>
      <c r="AD45" s="26">
        <v>17</v>
      </c>
      <c r="AE45" s="44">
        <f t="shared" si="13"/>
        <v>7521.2250000000004</v>
      </c>
      <c r="AF45" s="44"/>
      <c r="AG45" s="181"/>
      <c r="AH45" s="44"/>
      <c r="AI45" s="44"/>
      <c r="AJ45" s="44">
        <f>S45*0.5</f>
        <v>86212.041562500017</v>
      </c>
      <c r="AK45" s="44"/>
      <c r="AL45" s="44">
        <f t="shared" si="7"/>
        <v>375158.51418750011</v>
      </c>
      <c r="AM45" s="44">
        <f t="shared" si="8"/>
        <v>4501.9021702500013</v>
      </c>
      <c r="AN45" s="204">
        <f t="shared" si="9"/>
        <v>0</v>
      </c>
    </row>
    <row r="46" spans="1:40" s="2" customFormat="1" ht="39" x14ac:dyDescent="0.2">
      <c r="A46" s="56">
        <v>26</v>
      </c>
      <c r="B46" s="63" t="s">
        <v>99</v>
      </c>
      <c r="C46" s="61" t="s">
        <v>158</v>
      </c>
      <c r="D46" s="23" t="s">
        <v>37</v>
      </c>
      <c r="E46" s="26">
        <f t="shared" si="10"/>
        <v>1.3125</v>
      </c>
      <c r="F46" s="56" t="s">
        <v>176</v>
      </c>
      <c r="G46" s="23" t="s">
        <v>37</v>
      </c>
      <c r="H46" s="185" t="s">
        <v>431</v>
      </c>
      <c r="I46" s="129">
        <v>5.24</v>
      </c>
      <c r="J46" s="44">
        <v>17697</v>
      </c>
      <c r="K46" s="24">
        <v>1.75</v>
      </c>
      <c r="L46" s="44">
        <f t="shared" si="1"/>
        <v>162281.49000000002</v>
      </c>
      <c r="M46" s="25">
        <f t="shared" si="2"/>
        <v>21</v>
      </c>
      <c r="N46" s="56">
        <v>9</v>
      </c>
      <c r="O46" s="44">
        <f t="shared" si="3"/>
        <v>91283.338125000009</v>
      </c>
      <c r="P46" s="69">
        <v>12</v>
      </c>
      <c r="Q46" s="44">
        <f t="shared" si="14"/>
        <v>121711.11750000002</v>
      </c>
      <c r="R46" s="25"/>
      <c r="S46" s="44">
        <f t="shared" si="4"/>
        <v>212994.45562500003</v>
      </c>
      <c r="T46" s="44">
        <f t="shared" si="5"/>
        <v>21299.445562500005</v>
      </c>
      <c r="U46" s="44"/>
      <c r="V46" s="72"/>
      <c r="W46" s="44">
        <f t="shared" si="11"/>
        <v>0</v>
      </c>
      <c r="X46" s="72"/>
      <c r="Y46" s="33"/>
      <c r="Z46" s="44"/>
      <c r="AA46" s="48">
        <f>3063*10</f>
        <v>30630</v>
      </c>
      <c r="AB46" s="44">
        <f>SUM(J46*2)</f>
        <v>35394</v>
      </c>
      <c r="AC46" s="44">
        <f t="shared" si="6"/>
        <v>63898.336687500007</v>
      </c>
      <c r="AD46" s="26">
        <v>21</v>
      </c>
      <c r="AE46" s="44">
        <f t="shared" si="13"/>
        <v>9290.9250000000011</v>
      </c>
      <c r="AF46" s="44">
        <f>SUM(J46*0.2)</f>
        <v>3539.4</v>
      </c>
      <c r="AG46" s="181"/>
      <c r="AH46" s="44"/>
      <c r="AI46" s="44">
        <f>S46*0.4</f>
        <v>85197.782250000018</v>
      </c>
      <c r="AJ46" s="44"/>
      <c r="AK46" s="44"/>
      <c r="AL46" s="44">
        <f t="shared" si="7"/>
        <v>462244.34512500005</v>
      </c>
      <c r="AM46" s="44">
        <f t="shared" si="8"/>
        <v>5546.9321415000004</v>
      </c>
      <c r="AN46" s="204">
        <f t="shared" si="9"/>
        <v>21</v>
      </c>
    </row>
    <row r="47" spans="1:40" s="2" customFormat="1" ht="39" x14ac:dyDescent="0.2">
      <c r="A47" s="56">
        <v>27</v>
      </c>
      <c r="B47" s="59" t="s">
        <v>100</v>
      </c>
      <c r="C47" s="61" t="s">
        <v>146</v>
      </c>
      <c r="D47" s="23" t="s">
        <v>37</v>
      </c>
      <c r="E47" s="26">
        <f t="shared" si="10"/>
        <v>1</v>
      </c>
      <c r="F47" s="56" t="s">
        <v>176</v>
      </c>
      <c r="G47" s="23" t="s">
        <v>37</v>
      </c>
      <c r="H47" s="185" t="s">
        <v>432</v>
      </c>
      <c r="I47" s="129">
        <v>5.32</v>
      </c>
      <c r="J47" s="44">
        <v>17697</v>
      </c>
      <c r="K47" s="24">
        <v>1.75</v>
      </c>
      <c r="L47" s="44">
        <f t="shared" si="1"/>
        <v>164759.07</v>
      </c>
      <c r="M47" s="25">
        <f t="shared" si="2"/>
        <v>16</v>
      </c>
      <c r="N47" s="56">
        <v>16</v>
      </c>
      <c r="O47" s="44">
        <f t="shared" si="3"/>
        <v>164759.07</v>
      </c>
      <c r="P47" s="69"/>
      <c r="Q47" s="44"/>
      <c r="R47" s="25"/>
      <c r="S47" s="44">
        <f t="shared" si="4"/>
        <v>164759.07</v>
      </c>
      <c r="T47" s="44">
        <f t="shared" si="5"/>
        <v>16475.907000000003</v>
      </c>
      <c r="U47" s="44"/>
      <c r="V47" s="72"/>
      <c r="W47" s="44">
        <f t="shared" si="11"/>
        <v>0</v>
      </c>
      <c r="X47" s="72">
        <v>11.5</v>
      </c>
      <c r="Y47" s="33">
        <v>0.5</v>
      </c>
      <c r="Z47" s="44">
        <f t="shared" si="12"/>
        <v>6359.859375</v>
      </c>
      <c r="AA47" s="48"/>
      <c r="AB47" s="44"/>
      <c r="AC47" s="44">
        <f t="shared" si="6"/>
        <v>49427.720999999998</v>
      </c>
      <c r="AD47" s="26"/>
      <c r="AE47" s="44"/>
      <c r="AF47" s="44"/>
      <c r="AG47" s="181"/>
      <c r="AH47" s="44"/>
      <c r="AI47" s="44">
        <f>S47*0.4</f>
        <v>65903.628000000012</v>
      </c>
      <c r="AJ47" s="44"/>
      <c r="AK47" s="44"/>
      <c r="AL47" s="44">
        <f t="shared" si="7"/>
        <v>302926.185375</v>
      </c>
      <c r="AM47" s="44">
        <f t="shared" si="8"/>
        <v>3635.1142245000001</v>
      </c>
      <c r="AN47" s="204">
        <f t="shared" si="9"/>
        <v>4.5</v>
      </c>
    </row>
    <row r="48" spans="1:40" s="2" customFormat="1" ht="39" x14ac:dyDescent="0.2">
      <c r="A48" s="56">
        <v>28</v>
      </c>
      <c r="B48" s="59" t="s">
        <v>101</v>
      </c>
      <c r="C48" s="61" t="s">
        <v>157</v>
      </c>
      <c r="D48" s="23" t="s">
        <v>37</v>
      </c>
      <c r="E48" s="26">
        <f t="shared" si="10"/>
        <v>1.3125</v>
      </c>
      <c r="F48" s="56" t="s">
        <v>179</v>
      </c>
      <c r="G48" s="23" t="s">
        <v>69</v>
      </c>
      <c r="H48" s="185" t="s">
        <v>433</v>
      </c>
      <c r="I48" s="129">
        <v>5.12</v>
      </c>
      <c r="J48" s="44">
        <v>17697</v>
      </c>
      <c r="K48" s="24">
        <v>1.75</v>
      </c>
      <c r="L48" s="44">
        <f t="shared" si="1"/>
        <v>158565.12</v>
      </c>
      <c r="M48" s="25">
        <f t="shared" si="2"/>
        <v>21</v>
      </c>
      <c r="N48" s="56"/>
      <c r="O48" s="44"/>
      <c r="P48" s="69">
        <v>21</v>
      </c>
      <c r="Q48" s="44">
        <f t="shared" si="14"/>
        <v>208116.72</v>
      </c>
      <c r="R48" s="25"/>
      <c r="S48" s="44">
        <f t="shared" si="4"/>
        <v>208116.72</v>
      </c>
      <c r="T48" s="44">
        <f t="shared" si="5"/>
        <v>20811.672000000002</v>
      </c>
      <c r="U48" s="44"/>
      <c r="V48" s="72"/>
      <c r="W48" s="44">
        <f t="shared" si="11"/>
        <v>0</v>
      </c>
      <c r="X48" s="72">
        <v>21</v>
      </c>
      <c r="Y48" s="33">
        <v>0.5</v>
      </c>
      <c r="Z48" s="44">
        <f t="shared" si="12"/>
        <v>11613.65625</v>
      </c>
      <c r="AA48" s="48"/>
      <c r="AB48" s="44"/>
      <c r="AC48" s="44">
        <f t="shared" si="6"/>
        <v>62435.015999999996</v>
      </c>
      <c r="AD48" s="26"/>
      <c r="AE48" s="44"/>
      <c r="AF48" s="44">
        <f>SUM(J48*0.2)</f>
        <v>3539.4</v>
      </c>
      <c r="AG48" s="181"/>
      <c r="AH48" s="181">
        <f>S48*35%</f>
        <v>72840.851999999999</v>
      </c>
      <c r="AI48" s="44"/>
      <c r="AJ48" s="44"/>
      <c r="AK48" s="44"/>
      <c r="AL48" s="44">
        <f t="shared" si="7"/>
        <v>379357.31624999997</v>
      </c>
      <c r="AM48" s="44">
        <f t="shared" si="8"/>
        <v>4552.2877950000002</v>
      </c>
      <c r="AN48" s="204">
        <f t="shared" si="9"/>
        <v>0</v>
      </c>
    </row>
    <row r="49" spans="1:40" s="2" customFormat="1" ht="39" x14ac:dyDescent="0.2">
      <c r="A49" s="56">
        <v>29</v>
      </c>
      <c r="B49" s="58" t="s">
        <v>102</v>
      </c>
      <c r="C49" s="61" t="s">
        <v>159</v>
      </c>
      <c r="D49" s="23" t="s">
        <v>37</v>
      </c>
      <c r="E49" s="26">
        <f t="shared" si="10"/>
        <v>1.25</v>
      </c>
      <c r="F49" s="56" t="s">
        <v>176</v>
      </c>
      <c r="G49" s="23" t="s">
        <v>37</v>
      </c>
      <c r="H49" s="185" t="s">
        <v>434</v>
      </c>
      <c r="I49" s="129">
        <v>5.24</v>
      </c>
      <c r="J49" s="44">
        <v>17697</v>
      </c>
      <c r="K49" s="24">
        <v>1.75</v>
      </c>
      <c r="L49" s="44">
        <f t="shared" si="1"/>
        <v>162281.49000000002</v>
      </c>
      <c r="M49" s="25">
        <f t="shared" si="2"/>
        <v>20</v>
      </c>
      <c r="N49" s="56">
        <v>8</v>
      </c>
      <c r="O49" s="44">
        <f t="shared" si="3"/>
        <v>81140.74500000001</v>
      </c>
      <c r="P49" s="69">
        <v>12</v>
      </c>
      <c r="Q49" s="44">
        <f t="shared" si="14"/>
        <v>121711.11750000002</v>
      </c>
      <c r="R49" s="25"/>
      <c r="S49" s="44">
        <f t="shared" si="4"/>
        <v>202851.86250000005</v>
      </c>
      <c r="T49" s="44">
        <f t="shared" si="5"/>
        <v>20285.186250000006</v>
      </c>
      <c r="U49" s="44"/>
      <c r="V49" s="72"/>
      <c r="W49" s="44">
        <f t="shared" si="11"/>
        <v>0</v>
      </c>
      <c r="X49" s="72">
        <v>14</v>
      </c>
      <c r="Y49" s="33">
        <v>0.5</v>
      </c>
      <c r="Z49" s="44">
        <f t="shared" si="12"/>
        <v>7742.4375</v>
      </c>
      <c r="AA49" s="48"/>
      <c r="AB49" s="44"/>
      <c r="AC49" s="44">
        <f t="shared" si="6"/>
        <v>60855.558750000011</v>
      </c>
      <c r="AD49" s="26">
        <v>20</v>
      </c>
      <c r="AE49" s="44">
        <f t="shared" si="13"/>
        <v>8848.5</v>
      </c>
      <c r="AF49" s="44"/>
      <c r="AG49" s="181"/>
      <c r="AH49" s="44"/>
      <c r="AI49" s="44">
        <f>S49*0.4</f>
        <v>81140.745000000024</v>
      </c>
      <c r="AJ49" s="44"/>
      <c r="AK49" s="44"/>
      <c r="AL49" s="44">
        <f t="shared" si="7"/>
        <v>381724.29000000004</v>
      </c>
      <c r="AM49" s="44">
        <f t="shared" si="8"/>
        <v>4580.6914800000004</v>
      </c>
      <c r="AN49" s="204">
        <f t="shared" si="9"/>
        <v>6</v>
      </c>
    </row>
    <row r="50" spans="1:40" s="2" customFormat="1" ht="26" x14ac:dyDescent="0.2">
      <c r="A50" s="56">
        <v>30</v>
      </c>
      <c r="B50" s="60" t="s">
        <v>103</v>
      </c>
      <c r="C50" s="61" t="s">
        <v>160</v>
      </c>
      <c r="D50" s="23" t="s">
        <v>37</v>
      </c>
      <c r="E50" s="26">
        <f t="shared" si="10"/>
        <v>1.3125</v>
      </c>
      <c r="F50" s="56" t="s">
        <v>180</v>
      </c>
      <c r="G50" s="23"/>
      <c r="H50" s="185" t="s">
        <v>370</v>
      </c>
      <c r="I50" s="129">
        <v>4.0999999999999996</v>
      </c>
      <c r="J50" s="44">
        <v>17697</v>
      </c>
      <c r="K50" s="24">
        <v>1.75</v>
      </c>
      <c r="L50" s="44">
        <f t="shared" si="1"/>
        <v>126975.97499999999</v>
      </c>
      <c r="M50" s="25">
        <f t="shared" si="2"/>
        <v>21</v>
      </c>
      <c r="N50" s="56">
        <v>12</v>
      </c>
      <c r="O50" s="44">
        <f t="shared" si="3"/>
        <v>95231.981249999997</v>
      </c>
      <c r="P50" s="69">
        <v>9</v>
      </c>
      <c r="Q50" s="44">
        <f t="shared" si="14"/>
        <v>71423.985937499994</v>
      </c>
      <c r="R50" s="25"/>
      <c r="S50" s="44">
        <f t="shared" si="4"/>
        <v>166655.96718749998</v>
      </c>
      <c r="T50" s="44">
        <f t="shared" si="5"/>
        <v>16665.596718749999</v>
      </c>
      <c r="U50" s="44"/>
      <c r="V50" s="72"/>
      <c r="W50" s="44">
        <f t="shared" si="11"/>
        <v>0</v>
      </c>
      <c r="X50" s="72">
        <v>0</v>
      </c>
      <c r="Y50" s="33"/>
      <c r="Z50" s="44">
        <f t="shared" si="12"/>
        <v>0</v>
      </c>
      <c r="AA50" s="48"/>
      <c r="AB50" s="44">
        <f>SUM(J50*2)</f>
        <v>35394</v>
      </c>
      <c r="AC50" s="44">
        <f t="shared" si="6"/>
        <v>49996.79015624999</v>
      </c>
      <c r="AD50" s="26">
        <v>21</v>
      </c>
      <c r="AE50" s="44">
        <f t="shared" si="13"/>
        <v>9290.9250000000011</v>
      </c>
      <c r="AF50" s="44"/>
      <c r="AG50" s="181"/>
      <c r="AH50" s="44"/>
      <c r="AI50" s="44"/>
      <c r="AJ50" s="44"/>
      <c r="AK50" s="44"/>
      <c r="AL50" s="44">
        <f t="shared" si="7"/>
        <v>278003.27906249999</v>
      </c>
      <c r="AM50" s="44">
        <f t="shared" si="8"/>
        <v>3336.03934875</v>
      </c>
      <c r="AN50" s="204">
        <f t="shared" si="9"/>
        <v>21</v>
      </c>
    </row>
    <row r="51" spans="1:40" s="2" customFormat="1" ht="39" x14ac:dyDescent="0.2">
      <c r="A51" s="56">
        <v>31</v>
      </c>
      <c r="B51" s="58" t="s">
        <v>104</v>
      </c>
      <c r="C51" s="61" t="s">
        <v>159</v>
      </c>
      <c r="D51" s="23" t="s">
        <v>37</v>
      </c>
      <c r="E51" s="26">
        <f t="shared" si="10"/>
        <v>1.125</v>
      </c>
      <c r="F51" s="56" t="s">
        <v>176</v>
      </c>
      <c r="G51" s="23" t="s">
        <v>37</v>
      </c>
      <c r="H51" s="185" t="s">
        <v>435</v>
      </c>
      <c r="I51" s="129">
        <v>5.01</v>
      </c>
      <c r="J51" s="44">
        <v>17697</v>
      </c>
      <c r="K51" s="24">
        <v>1.75</v>
      </c>
      <c r="L51" s="44">
        <f t="shared" si="1"/>
        <v>155158.44749999998</v>
      </c>
      <c r="M51" s="25">
        <f t="shared" si="2"/>
        <v>18</v>
      </c>
      <c r="N51" s="56">
        <v>18</v>
      </c>
      <c r="O51" s="44">
        <f t="shared" si="3"/>
        <v>174553.25343749998</v>
      </c>
      <c r="P51" s="69"/>
      <c r="Q51" s="44"/>
      <c r="R51" s="25"/>
      <c r="S51" s="44">
        <f t="shared" si="4"/>
        <v>174553.25343749998</v>
      </c>
      <c r="T51" s="44">
        <f t="shared" si="5"/>
        <v>17455.325343749999</v>
      </c>
      <c r="U51" s="44"/>
      <c r="V51" s="72"/>
      <c r="W51" s="44">
        <f t="shared" si="11"/>
        <v>0</v>
      </c>
      <c r="X51" s="72">
        <v>14</v>
      </c>
      <c r="Y51" s="33">
        <v>0.5</v>
      </c>
      <c r="Z51" s="44">
        <f t="shared" si="12"/>
        <v>7742.4375</v>
      </c>
      <c r="AA51" s="48">
        <f>3063*10</f>
        <v>30630</v>
      </c>
      <c r="AB51" s="44"/>
      <c r="AC51" s="44">
        <f t="shared" si="6"/>
        <v>52365.976031249993</v>
      </c>
      <c r="AD51" s="26">
        <v>18</v>
      </c>
      <c r="AE51" s="44">
        <f t="shared" si="13"/>
        <v>7963.6500000000005</v>
      </c>
      <c r="AF51" s="44"/>
      <c r="AG51" s="181"/>
      <c r="AH51" s="44"/>
      <c r="AI51" s="44">
        <f>S51*0.4</f>
        <v>69821.301374999995</v>
      </c>
      <c r="AJ51" s="44"/>
      <c r="AK51" s="44"/>
      <c r="AL51" s="44">
        <f t="shared" si="7"/>
        <v>360531.94368749997</v>
      </c>
      <c r="AM51" s="44">
        <f t="shared" si="8"/>
        <v>4326.3833242499995</v>
      </c>
      <c r="AN51" s="204">
        <f t="shared" si="9"/>
        <v>4</v>
      </c>
    </row>
    <row r="52" spans="1:40" s="2" customFormat="1" ht="39" x14ac:dyDescent="0.2">
      <c r="A52" s="56">
        <v>32</v>
      </c>
      <c r="B52" s="63" t="s">
        <v>105</v>
      </c>
      <c r="C52" s="61" t="s">
        <v>157</v>
      </c>
      <c r="D52" s="23" t="s">
        <v>37</v>
      </c>
      <c r="E52" s="26">
        <f t="shared" si="10"/>
        <v>1.1875</v>
      </c>
      <c r="F52" s="56" t="s">
        <v>181</v>
      </c>
      <c r="G52" s="23" t="s">
        <v>70</v>
      </c>
      <c r="H52" s="185" t="s">
        <v>436</v>
      </c>
      <c r="I52" s="129">
        <v>5.16</v>
      </c>
      <c r="J52" s="44">
        <v>17697</v>
      </c>
      <c r="K52" s="24">
        <v>1.75</v>
      </c>
      <c r="L52" s="44">
        <f t="shared" si="1"/>
        <v>159803.91</v>
      </c>
      <c r="M52" s="25">
        <f t="shared" si="2"/>
        <v>19</v>
      </c>
      <c r="N52" s="56">
        <v>16</v>
      </c>
      <c r="O52" s="44">
        <f t="shared" si="3"/>
        <v>159803.91</v>
      </c>
      <c r="P52" s="69">
        <v>3</v>
      </c>
      <c r="Q52" s="44">
        <f t="shared" si="14"/>
        <v>29963.233124999999</v>
      </c>
      <c r="R52" s="25"/>
      <c r="S52" s="44">
        <f t="shared" si="4"/>
        <v>189767.143125</v>
      </c>
      <c r="T52" s="44">
        <f t="shared" si="5"/>
        <v>18976.7143125</v>
      </c>
      <c r="U52" s="44"/>
      <c r="V52" s="72"/>
      <c r="W52" s="44">
        <f t="shared" si="11"/>
        <v>0</v>
      </c>
      <c r="X52" s="72">
        <v>16</v>
      </c>
      <c r="Y52" s="33">
        <v>0.5</v>
      </c>
      <c r="Z52" s="44">
        <f t="shared" si="12"/>
        <v>8848.5</v>
      </c>
      <c r="AA52" s="48">
        <f>3063*10</f>
        <v>30630</v>
      </c>
      <c r="AB52" s="44"/>
      <c r="AC52" s="44">
        <f t="shared" si="6"/>
        <v>56930.142937500001</v>
      </c>
      <c r="AD52" s="26">
        <v>19</v>
      </c>
      <c r="AE52" s="44">
        <f t="shared" si="13"/>
        <v>8406.0750000000007</v>
      </c>
      <c r="AF52" s="44">
        <f>SUM(J52*0.2)</f>
        <v>3539.4</v>
      </c>
      <c r="AG52" s="181"/>
      <c r="AH52" s="44"/>
      <c r="AI52" s="44"/>
      <c r="AJ52" s="44"/>
      <c r="AK52" s="44"/>
      <c r="AL52" s="44">
        <f t="shared" si="7"/>
        <v>317097.97537500004</v>
      </c>
      <c r="AM52" s="44">
        <f t="shared" si="8"/>
        <v>3805.1757045000004</v>
      </c>
      <c r="AN52" s="204">
        <f t="shared" si="9"/>
        <v>3</v>
      </c>
    </row>
    <row r="53" spans="1:40" s="2" customFormat="1" ht="28" x14ac:dyDescent="0.2">
      <c r="A53" s="56">
        <v>33</v>
      </c>
      <c r="B53" s="59" t="s">
        <v>106</v>
      </c>
      <c r="C53" s="61" t="s">
        <v>161</v>
      </c>
      <c r="D53" s="23" t="s">
        <v>37</v>
      </c>
      <c r="E53" s="26">
        <f t="shared" si="10"/>
        <v>1.3125</v>
      </c>
      <c r="F53" s="56" t="s">
        <v>180</v>
      </c>
      <c r="G53" s="23"/>
      <c r="H53" s="185" t="s">
        <v>437</v>
      </c>
      <c r="I53" s="129">
        <v>4.2300000000000004</v>
      </c>
      <c r="J53" s="44">
        <v>17697</v>
      </c>
      <c r="K53" s="24">
        <v>1.75</v>
      </c>
      <c r="L53" s="44">
        <f t="shared" si="1"/>
        <v>131002.04250000001</v>
      </c>
      <c r="M53" s="25">
        <f t="shared" si="2"/>
        <v>21</v>
      </c>
      <c r="N53" s="56">
        <v>12</v>
      </c>
      <c r="O53" s="44">
        <f t="shared" si="3"/>
        <v>98251.531875000015</v>
      </c>
      <c r="P53" s="69">
        <v>9</v>
      </c>
      <c r="Q53" s="44">
        <f t="shared" si="14"/>
        <v>73688.648906250004</v>
      </c>
      <c r="R53" s="25"/>
      <c r="S53" s="44">
        <f t="shared" si="4"/>
        <v>171940.18078125</v>
      </c>
      <c r="T53" s="44">
        <f t="shared" si="5"/>
        <v>17194.018078125002</v>
      </c>
      <c r="U53" s="44"/>
      <c r="V53" s="72"/>
      <c r="W53" s="44">
        <f t="shared" si="11"/>
        <v>0</v>
      </c>
      <c r="X53" s="72">
        <v>11</v>
      </c>
      <c r="Y53" s="33">
        <v>0.5</v>
      </c>
      <c r="Z53" s="44">
        <f t="shared" si="12"/>
        <v>6083.34375</v>
      </c>
      <c r="AA53" s="48"/>
      <c r="AB53" s="44">
        <f>SUM(J53*2)</f>
        <v>35394</v>
      </c>
      <c r="AC53" s="44">
        <f t="shared" si="6"/>
        <v>51582.054234374998</v>
      </c>
      <c r="AD53" s="26">
        <v>21</v>
      </c>
      <c r="AE53" s="44">
        <f t="shared" si="13"/>
        <v>9290.9250000000011</v>
      </c>
      <c r="AF53" s="44"/>
      <c r="AG53" s="181"/>
      <c r="AH53" s="44"/>
      <c r="AI53" s="44"/>
      <c r="AJ53" s="44"/>
      <c r="AK53" s="44"/>
      <c r="AL53" s="44">
        <f t="shared" si="7"/>
        <v>291484.52184375003</v>
      </c>
      <c r="AM53" s="44">
        <f t="shared" si="8"/>
        <v>3497.8142621250004</v>
      </c>
      <c r="AN53" s="204">
        <f t="shared" si="9"/>
        <v>10</v>
      </c>
    </row>
    <row r="54" spans="1:40" s="2" customFormat="1" ht="26" x14ac:dyDescent="0.2">
      <c r="A54" s="56">
        <v>34</v>
      </c>
      <c r="B54" s="60" t="s">
        <v>107</v>
      </c>
      <c r="C54" s="61" t="s">
        <v>162</v>
      </c>
      <c r="D54" s="23" t="s">
        <v>37</v>
      </c>
      <c r="E54" s="26">
        <f t="shared" si="10"/>
        <v>0.25</v>
      </c>
      <c r="F54" s="56" t="s">
        <v>180</v>
      </c>
      <c r="G54" s="23"/>
      <c r="H54" s="185" t="s">
        <v>370</v>
      </c>
      <c r="I54" s="129">
        <v>4.0999999999999996</v>
      </c>
      <c r="J54" s="44">
        <v>17697</v>
      </c>
      <c r="K54" s="24">
        <v>1.75</v>
      </c>
      <c r="L54" s="44">
        <f t="shared" si="1"/>
        <v>126975.97499999999</v>
      </c>
      <c r="M54" s="25">
        <f t="shared" si="2"/>
        <v>4</v>
      </c>
      <c r="N54" s="56">
        <v>4</v>
      </c>
      <c r="O54" s="44">
        <f t="shared" si="3"/>
        <v>31743.993749999998</v>
      </c>
      <c r="P54" s="69"/>
      <c r="Q54" s="44"/>
      <c r="R54" s="25"/>
      <c r="S54" s="44">
        <f t="shared" si="4"/>
        <v>31743.993749999998</v>
      </c>
      <c r="T54" s="44">
        <f t="shared" si="5"/>
        <v>3174.399375</v>
      </c>
      <c r="U54" s="44"/>
      <c r="V54" s="72"/>
      <c r="W54" s="44">
        <f t="shared" si="11"/>
        <v>0</v>
      </c>
      <c r="X54" s="72"/>
      <c r="Y54" s="33"/>
      <c r="Z54" s="44"/>
      <c r="AA54" s="48"/>
      <c r="AB54" s="44"/>
      <c r="AC54" s="44">
        <f t="shared" si="6"/>
        <v>9523.198124999999</v>
      </c>
      <c r="AD54" s="26"/>
      <c r="AE54" s="44"/>
      <c r="AF54" s="44"/>
      <c r="AG54" s="181"/>
      <c r="AH54" s="44"/>
      <c r="AI54" s="44"/>
      <c r="AJ54" s="44"/>
      <c r="AK54" s="44"/>
      <c r="AL54" s="44">
        <f t="shared" si="7"/>
        <v>44441.591249999998</v>
      </c>
      <c r="AM54" s="44">
        <f t="shared" si="8"/>
        <v>533.29909499999997</v>
      </c>
      <c r="AN54" s="204">
        <f t="shared" si="9"/>
        <v>4</v>
      </c>
    </row>
    <row r="55" spans="1:40" s="2" customFormat="1" ht="28" x14ac:dyDescent="0.2">
      <c r="A55" s="56">
        <v>35</v>
      </c>
      <c r="B55" s="64" t="s">
        <v>108</v>
      </c>
      <c r="C55" s="61" t="s">
        <v>163</v>
      </c>
      <c r="D55" s="23" t="s">
        <v>37</v>
      </c>
      <c r="E55" s="26">
        <f t="shared" si="10"/>
        <v>1.25</v>
      </c>
      <c r="F55" s="56" t="s">
        <v>181</v>
      </c>
      <c r="G55" s="23" t="s">
        <v>70</v>
      </c>
      <c r="H55" s="185" t="s">
        <v>414</v>
      </c>
      <c r="I55" s="129">
        <v>5.16</v>
      </c>
      <c r="J55" s="44">
        <v>17697</v>
      </c>
      <c r="K55" s="24">
        <v>1.75</v>
      </c>
      <c r="L55" s="44">
        <f t="shared" si="1"/>
        <v>159803.91</v>
      </c>
      <c r="M55" s="25">
        <f t="shared" si="2"/>
        <v>20</v>
      </c>
      <c r="N55" s="56">
        <v>20</v>
      </c>
      <c r="O55" s="44">
        <f t="shared" si="3"/>
        <v>199754.88750000001</v>
      </c>
      <c r="P55" s="69"/>
      <c r="Q55" s="44"/>
      <c r="R55" s="25"/>
      <c r="S55" s="44">
        <f t="shared" si="4"/>
        <v>199754.88750000001</v>
      </c>
      <c r="T55" s="44">
        <f t="shared" si="5"/>
        <v>19975.488750000004</v>
      </c>
      <c r="U55" s="44"/>
      <c r="V55" s="72"/>
      <c r="W55" s="44">
        <f t="shared" si="11"/>
        <v>0</v>
      </c>
      <c r="X55" s="72"/>
      <c r="Y55" s="33"/>
      <c r="Z55" s="44"/>
      <c r="AA55" s="48"/>
      <c r="AB55" s="44"/>
      <c r="AC55" s="44">
        <f t="shared" si="6"/>
        <v>59926.466249999998</v>
      </c>
      <c r="AD55" s="26"/>
      <c r="AE55" s="44"/>
      <c r="AF55" s="44"/>
      <c r="AG55" s="181">
        <f>+O55*30%</f>
        <v>59926.466249999998</v>
      </c>
      <c r="AH55" s="44"/>
      <c r="AI55" s="44"/>
      <c r="AJ55" s="44"/>
      <c r="AK55" s="44"/>
      <c r="AL55" s="44">
        <f t="shared" si="7"/>
        <v>339583.30875000003</v>
      </c>
      <c r="AM55" s="44">
        <f t="shared" si="8"/>
        <v>4074.9997050000002</v>
      </c>
      <c r="AN55" s="204">
        <f t="shared" si="9"/>
        <v>20</v>
      </c>
    </row>
    <row r="56" spans="1:40" s="2" customFormat="1" ht="39" x14ac:dyDescent="0.2">
      <c r="A56" s="56">
        <v>36</v>
      </c>
      <c r="B56" s="65" t="s">
        <v>109</v>
      </c>
      <c r="C56" s="61" t="s">
        <v>157</v>
      </c>
      <c r="D56" s="23" t="s">
        <v>37</v>
      </c>
      <c r="E56" s="26">
        <f t="shared" si="10"/>
        <v>1</v>
      </c>
      <c r="F56" s="56" t="s">
        <v>179</v>
      </c>
      <c r="G56" s="23" t="s">
        <v>69</v>
      </c>
      <c r="H56" s="185" t="s">
        <v>438</v>
      </c>
      <c r="I56" s="129">
        <v>5.03</v>
      </c>
      <c r="J56" s="44">
        <v>17697</v>
      </c>
      <c r="K56" s="24">
        <v>1.75</v>
      </c>
      <c r="L56" s="44">
        <f t="shared" si="1"/>
        <v>155777.8425</v>
      </c>
      <c r="M56" s="25">
        <f t="shared" si="2"/>
        <v>16</v>
      </c>
      <c r="N56" s="56">
        <v>12</v>
      </c>
      <c r="O56" s="44">
        <f t="shared" si="3"/>
        <v>116833.38187499999</v>
      </c>
      <c r="P56" s="69">
        <v>4</v>
      </c>
      <c r="Q56" s="44">
        <f t="shared" si="14"/>
        <v>38944.460625</v>
      </c>
      <c r="R56" s="25"/>
      <c r="S56" s="44">
        <f t="shared" si="4"/>
        <v>155777.8425</v>
      </c>
      <c r="T56" s="44">
        <f t="shared" si="5"/>
        <v>15577.784250000001</v>
      </c>
      <c r="U56" s="44"/>
      <c r="V56" s="72"/>
      <c r="W56" s="44">
        <f t="shared" si="11"/>
        <v>0</v>
      </c>
      <c r="X56" s="72">
        <v>16</v>
      </c>
      <c r="Y56" s="33">
        <v>0.5</v>
      </c>
      <c r="Z56" s="44">
        <f t="shared" si="12"/>
        <v>8848.5</v>
      </c>
      <c r="AA56" s="48"/>
      <c r="AB56" s="44"/>
      <c r="AC56" s="44">
        <f t="shared" si="6"/>
        <v>46733.352749999998</v>
      </c>
      <c r="AD56" s="26">
        <v>16</v>
      </c>
      <c r="AE56" s="44">
        <f t="shared" si="13"/>
        <v>7078.8</v>
      </c>
      <c r="AF56" s="44"/>
      <c r="AG56" s="181"/>
      <c r="AH56" s="181">
        <f>S56*35%</f>
        <v>54522.244874999997</v>
      </c>
      <c r="AI56" s="44"/>
      <c r="AJ56" s="44"/>
      <c r="AK56" s="44"/>
      <c r="AL56" s="44">
        <f t="shared" si="7"/>
        <v>288538.52437500004</v>
      </c>
      <c r="AM56" s="44">
        <f t="shared" si="8"/>
        <v>3462.4622925000003</v>
      </c>
      <c r="AN56" s="204">
        <f t="shared" si="9"/>
        <v>0</v>
      </c>
    </row>
    <row r="57" spans="1:40" s="2" customFormat="1" ht="28" x14ac:dyDescent="0.2">
      <c r="A57" s="56">
        <v>37</v>
      </c>
      <c r="B57" s="58" t="s">
        <v>110</v>
      </c>
      <c r="C57" s="61" t="s">
        <v>164</v>
      </c>
      <c r="D57" s="23" t="s">
        <v>37</v>
      </c>
      <c r="E57" s="26">
        <f t="shared" si="10"/>
        <v>1</v>
      </c>
      <c r="F57" s="56" t="s">
        <v>181</v>
      </c>
      <c r="G57" s="23" t="s">
        <v>70</v>
      </c>
      <c r="H57" s="185" t="s">
        <v>439</v>
      </c>
      <c r="I57" s="129">
        <v>4.9000000000000004</v>
      </c>
      <c r="J57" s="44">
        <v>17697</v>
      </c>
      <c r="K57" s="24">
        <v>1.75</v>
      </c>
      <c r="L57" s="44">
        <f t="shared" si="1"/>
        <v>151751.77500000002</v>
      </c>
      <c r="M57" s="25">
        <f t="shared" si="2"/>
        <v>16</v>
      </c>
      <c r="N57" s="56">
        <v>16</v>
      </c>
      <c r="O57" s="44">
        <f t="shared" si="3"/>
        <v>151751.77500000002</v>
      </c>
      <c r="P57" s="69"/>
      <c r="Q57" s="44"/>
      <c r="R57" s="25"/>
      <c r="S57" s="44">
        <f t="shared" si="4"/>
        <v>151751.77500000002</v>
      </c>
      <c r="T57" s="44">
        <f t="shared" si="5"/>
        <v>15175.177500000003</v>
      </c>
      <c r="U57" s="44"/>
      <c r="V57" s="72"/>
      <c r="W57" s="44">
        <f t="shared" si="11"/>
        <v>0</v>
      </c>
      <c r="X57" s="72"/>
      <c r="Y57" s="33"/>
      <c r="Z57" s="44"/>
      <c r="AA57" s="48"/>
      <c r="AB57" s="44"/>
      <c r="AC57" s="44">
        <f t="shared" si="6"/>
        <v>45525.532500000008</v>
      </c>
      <c r="AD57" s="26"/>
      <c r="AE57" s="44"/>
      <c r="AF57" s="44"/>
      <c r="AG57" s="181"/>
      <c r="AH57" s="44"/>
      <c r="AI57" s="44"/>
      <c r="AJ57" s="44"/>
      <c r="AK57" s="44"/>
      <c r="AL57" s="44">
        <f t="shared" si="7"/>
        <v>212452.48500000004</v>
      </c>
      <c r="AM57" s="44">
        <f t="shared" si="8"/>
        <v>2549.4298200000003</v>
      </c>
      <c r="AN57" s="204">
        <f t="shared" si="9"/>
        <v>16</v>
      </c>
    </row>
    <row r="58" spans="1:40" s="2" customFormat="1" ht="39" x14ac:dyDescent="0.2">
      <c r="A58" s="56">
        <v>38</v>
      </c>
      <c r="B58" s="58" t="s">
        <v>111</v>
      </c>
      <c r="C58" s="61" t="s">
        <v>165</v>
      </c>
      <c r="D58" s="23" t="s">
        <v>37</v>
      </c>
      <c r="E58" s="26">
        <f t="shared" si="10"/>
        <v>1.125</v>
      </c>
      <c r="F58" s="56" t="s">
        <v>179</v>
      </c>
      <c r="G58" s="23" t="s">
        <v>69</v>
      </c>
      <c r="H58" s="185" t="s">
        <v>440</v>
      </c>
      <c r="I58" s="129">
        <v>4.8600000000000003</v>
      </c>
      <c r="J58" s="44">
        <v>17697</v>
      </c>
      <c r="K58" s="24">
        <v>1.75</v>
      </c>
      <c r="L58" s="44">
        <f t="shared" si="1"/>
        <v>150512.98500000002</v>
      </c>
      <c r="M58" s="25">
        <f t="shared" si="2"/>
        <v>18</v>
      </c>
      <c r="N58" s="56"/>
      <c r="O58" s="44"/>
      <c r="P58" s="69">
        <v>18</v>
      </c>
      <c r="Q58" s="44">
        <f t="shared" si="14"/>
        <v>169327.10812500003</v>
      </c>
      <c r="R58" s="25"/>
      <c r="S58" s="44">
        <f t="shared" si="4"/>
        <v>169327.10812500003</v>
      </c>
      <c r="T58" s="44">
        <f t="shared" si="5"/>
        <v>16932.710812500005</v>
      </c>
      <c r="U58" s="44"/>
      <c r="V58" s="72"/>
      <c r="W58" s="44">
        <f t="shared" si="11"/>
        <v>0</v>
      </c>
      <c r="X58" s="72"/>
      <c r="Y58" s="33"/>
      <c r="Z58" s="44"/>
      <c r="AA58" s="48"/>
      <c r="AB58" s="44"/>
      <c r="AC58" s="44">
        <f t="shared" si="6"/>
        <v>50798.132437500004</v>
      </c>
      <c r="AD58" s="26"/>
      <c r="AE58" s="44"/>
      <c r="AF58" s="44"/>
      <c r="AG58" s="181"/>
      <c r="AH58" s="181">
        <f>S58*35%</f>
        <v>59264.487843750008</v>
      </c>
      <c r="AI58" s="44"/>
      <c r="AJ58" s="44"/>
      <c r="AK58" s="44"/>
      <c r="AL58" s="44">
        <f t="shared" si="7"/>
        <v>296322.43921875005</v>
      </c>
      <c r="AM58" s="44">
        <f t="shared" si="8"/>
        <v>3555.8692706250008</v>
      </c>
      <c r="AN58" s="204">
        <f t="shared" si="9"/>
        <v>18</v>
      </c>
    </row>
    <row r="59" spans="1:40" s="2" customFormat="1" ht="28" x14ac:dyDescent="0.2">
      <c r="A59" s="56">
        <v>39</v>
      </c>
      <c r="B59" s="59" t="s">
        <v>112</v>
      </c>
      <c r="C59" s="61" t="s">
        <v>166</v>
      </c>
      <c r="D59" s="23" t="s">
        <v>37</v>
      </c>
      <c r="E59" s="26">
        <f t="shared" si="10"/>
        <v>1</v>
      </c>
      <c r="F59" s="56" t="s">
        <v>176</v>
      </c>
      <c r="G59" s="23" t="s">
        <v>37</v>
      </c>
      <c r="H59" s="185" t="s">
        <v>359</v>
      </c>
      <c r="I59" s="129">
        <v>5.24</v>
      </c>
      <c r="J59" s="44">
        <v>17697</v>
      </c>
      <c r="K59" s="24">
        <v>1.75</v>
      </c>
      <c r="L59" s="44">
        <f t="shared" si="1"/>
        <v>162281.49000000002</v>
      </c>
      <c r="M59" s="25">
        <f t="shared" si="2"/>
        <v>16</v>
      </c>
      <c r="N59" s="56">
        <v>16</v>
      </c>
      <c r="O59" s="44">
        <f t="shared" si="3"/>
        <v>162281.49000000002</v>
      </c>
      <c r="P59" s="69"/>
      <c r="Q59" s="44"/>
      <c r="R59" s="25"/>
      <c r="S59" s="44">
        <f t="shared" si="4"/>
        <v>162281.49000000002</v>
      </c>
      <c r="T59" s="44">
        <f t="shared" si="5"/>
        <v>16228.149000000003</v>
      </c>
      <c r="U59" s="44"/>
      <c r="V59" s="72"/>
      <c r="W59" s="44">
        <f t="shared" si="11"/>
        <v>0</v>
      </c>
      <c r="X59" s="72"/>
      <c r="Y59" s="33"/>
      <c r="Z59" s="44"/>
      <c r="AA59" s="48">
        <f>3063*10</f>
        <v>30630</v>
      </c>
      <c r="AB59" s="44"/>
      <c r="AC59" s="44">
        <f t="shared" si="6"/>
        <v>48684.447000000007</v>
      </c>
      <c r="AD59" s="26"/>
      <c r="AE59" s="44"/>
      <c r="AF59" s="44"/>
      <c r="AG59" s="181"/>
      <c r="AH59" s="44"/>
      <c r="AI59" s="181"/>
      <c r="AJ59" s="44"/>
      <c r="AK59" s="44">
        <f>S59*50%</f>
        <v>81140.74500000001</v>
      </c>
      <c r="AL59" s="44">
        <f t="shared" si="7"/>
        <v>338964.83100000006</v>
      </c>
      <c r="AM59" s="44">
        <f t="shared" si="8"/>
        <v>4067.577972000001</v>
      </c>
      <c r="AN59" s="204">
        <f t="shared" si="9"/>
        <v>16</v>
      </c>
    </row>
    <row r="60" spans="1:40" s="2" customFormat="1" ht="28" x14ac:dyDescent="0.2">
      <c r="A60" s="56">
        <v>40</v>
      </c>
      <c r="B60" s="59" t="s">
        <v>113</v>
      </c>
      <c r="C60" s="61" t="s">
        <v>166</v>
      </c>
      <c r="D60" s="23" t="s">
        <v>37</v>
      </c>
      <c r="E60" s="26">
        <f t="shared" si="10"/>
        <v>1</v>
      </c>
      <c r="F60" s="56" t="s">
        <v>179</v>
      </c>
      <c r="G60" s="23" t="s">
        <v>69</v>
      </c>
      <c r="H60" s="185" t="s">
        <v>441</v>
      </c>
      <c r="I60" s="129">
        <v>4.6500000000000004</v>
      </c>
      <c r="J60" s="44">
        <v>17697</v>
      </c>
      <c r="K60" s="24">
        <v>1.75</v>
      </c>
      <c r="L60" s="44">
        <f t="shared" si="1"/>
        <v>144009.33750000002</v>
      </c>
      <c r="M60" s="25">
        <f t="shared" si="2"/>
        <v>16</v>
      </c>
      <c r="N60" s="56">
        <v>16</v>
      </c>
      <c r="O60" s="44">
        <f t="shared" si="3"/>
        <v>144009.33750000002</v>
      </c>
      <c r="P60" s="69"/>
      <c r="Q60" s="44"/>
      <c r="R60" s="25"/>
      <c r="S60" s="44">
        <f t="shared" si="4"/>
        <v>144009.33750000002</v>
      </c>
      <c r="T60" s="44">
        <f t="shared" si="5"/>
        <v>14400.933750000004</v>
      </c>
      <c r="U60" s="44"/>
      <c r="V60" s="72"/>
      <c r="W60" s="44">
        <f t="shared" si="11"/>
        <v>0</v>
      </c>
      <c r="X60" s="72"/>
      <c r="Y60" s="33"/>
      <c r="Z60" s="44"/>
      <c r="AA60" s="48"/>
      <c r="AB60" s="44"/>
      <c r="AC60" s="44">
        <f t="shared" si="6"/>
        <v>43202.801250000004</v>
      </c>
      <c r="AD60" s="26"/>
      <c r="AE60" s="44"/>
      <c r="AF60" s="44"/>
      <c r="AG60" s="181"/>
      <c r="AH60" s="181">
        <f>S60*35%</f>
        <v>50403.268125000002</v>
      </c>
      <c r="AI60" s="44"/>
      <c r="AJ60" s="44"/>
      <c r="AK60" s="44"/>
      <c r="AL60" s="44">
        <f t="shared" si="7"/>
        <v>252016.34062500004</v>
      </c>
      <c r="AM60" s="44">
        <f t="shared" si="8"/>
        <v>3024.1960875000004</v>
      </c>
      <c r="AN60" s="204">
        <f t="shared" si="9"/>
        <v>16</v>
      </c>
    </row>
    <row r="61" spans="1:40" s="2" customFormat="1" ht="39" x14ac:dyDescent="0.2">
      <c r="A61" s="56">
        <v>41</v>
      </c>
      <c r="B61" s="59" t="s">
        <v>114</v>
      </c>
      <c r="C61" s="61" t="s">
        <v>143</v>
      </c>
      <c r="D61" s="23" t="s">
        <v>37</v>
      </c>
      <c r="E61" s="26">
        <f t="shared" si="10"/>
        <v>1</v>
      </c>
      <c r="F61" s="56" t="s">
        <v>179</v>
      </c>
      <c r="G61" s="23" t="s">
        <v>69</v>
      </c>
      <c r="H61" s="185" t="s">
        <v>442</v>
      </c>
      <c r="I61" s="131">
        <v>4.79</v>
      </c>
      <c r="J61" s="44">
        <v>17697</v>
      </c>
      <c r="K61" s="24">
        <v>1.75</v>
      </c>
      <c r="L61" s="44">
        <f t="shared" si="1"/>
        <v>148345.10250000001</v>
      </c>
      <c r="M61" s="25">
        <f t="shared" si="2"/>
        <v>16</v>
      </c>
      <c r="N61" s="56"/>
      <c r="O61" s="44"/>
      <c r="P61" s="69">
        <v>16</v>
      </c>
      <c r="Q61" s="44">
        <f t="shared" si="14"/>
        <v>148345.10250000001</v>
      </c>
      <c r="R61" s="25"/>
      <c r="S61" s="44">
        <f t="shared" si="4"/>
        <v>148345.10250000001</v>
      </c>
      <c r="T61" s="44">
        <f t="shared" si="5"/>
        <v>14834.510250000001</v>
      </c>
      <c r="U61" s="44"/>
      <c r="V61" s="72"/>
      <c r="W61" s="44">
        <f t="shared" si="11"/>
        <v>0</v>
      </c>
      <c r="X61" s="72">
        <v>11</v>
      </c>
      <c r="Y61" s="33">
        <v>0.5</v>
      </c>
      <c r="Z61" s="44">
        <f t="shared" si="12"/>
        <v>6083.34375</v>
      </c>
      <c r="AA61" s="48"/>
      <c r="AB61" s="44"/>
      <c r="AC61" s="44">
        <f t="shared" si="6"/>
        <v>44503.530749999998</v>
      </c>
      <c r="AD61" s="26">
        <v>16</v>
      </c>
      <c r="AE61" s="44">
        <f t="shared" si="13"/>
        <v>7078.8</v>
      </c>
      <c r="AF61" s="44"/>
      <c r="AG61" s="181"/>
      <c r="AH61" s="181">
        <f>S61*35%</f>
        <v>51920.785875000001</v>
      </c>
      <c r="AI61" s="44"/>
      <c r="AJ61" s="44"/>
      <c r="AK61" s="44"/>
      <c r="AL61" s="44">
        <f t="shared" si="7"/>
        <v>272766.073125</v>
      </c>
      <c r="AM61" s="44">
        <f t="shared" si="8"/>
        <v>3273.1928775000001</v>
      </c>
      <c r="AN61" s="204">
        <f t="shared" si="9"/>
        <v>5</v>
      </c>
    </row>
    <row r="62" spans="1:40" s="2" customFormat="1" ht="39" x14ac:dyDescent="0.2">
      <c r="A62" s="56">
        <v>42</v>
      </c>
      <c r="B62" s="66" t="s">
        <v>115</v>
      </c>
      <c r="C62" s="61" t="s">
        <v>143</v>
      </c>
      <c r="D62" s="23" t="s">
        <v>37</v>
      </c>
      <c r="E62" s="26">
        <f t="shared" si="10"/>
        <v>1</v>
      </c>
      <c r="F62" s="56" t="s">
        <v>181</v>
      </c>
      <c r="G62" s="23" t="s">
        <v>70</v>
      </c>
      <c r="H62" s="185" t="s">
        <v>443</v>
      </c>
      <c r="I62" s="131">
        <v>4.74</v>
      </c>
      <c r="J62" s="44">
        <v>17697</v>
      </c>
      <c r="K62" s="24">
        <v>1.75</v>
      </c>
      <c r="L62" s="44">
        <f t="shared" si="1"/>
        <v>146796.61500000002</v>
      </c>
      <c r="M62" s="25">
        <f t="shared" si="2"/>
        <v>16</v>
      </c>
      <c r="N62" s="56">
        <v>12</v>
      </c>
      <c r="O62" s="44">
        <f t="shared" si="3"/>
        <v>110097.46125000002</v>
      </c>
      <c r="P62" s="69">
        <v>4</v>
      </c>
      <c r="Q62" s="44">
        <f t="shared" si="14"/>
        <v>36699.153750000005</v>
      </c>
      <c r="R62" s="25"/>
      <c r="S62" s="44">
        <f t="shared" si="4"/>
        <v>146796.61500000002</v>
      </c>
      <c r="T62" s="44">
        <f t="shared" si="5"/>
        <v>14679.661500000002</v>
      </c>
      <c r="U62" s="44"/>
      <c r="V62" s="72"/>
      <c r="W62" s="44">
        <f t="shared" si="11"/>
        <v>0</v>
      </c>
      <c r="X62" s="72"/>
      <c r="Y62" s="33"/>
      <c r="Z62" s="44"/>
      <c r="AA62" s="48"/>
      <c r="AB62" s="44"/>
      <c r="AC62" s="44">
        <f t="shared" si="6"/>
        <v>44038.984500000006</v>
      </c>
      <c r="AD62" s="26">
        <v>16</v>
      </c>
      <c r="AE62" s="44">
        <f t="shared" si="13"/>
        <v>7078.8</v>
      </c>
      <c r="AF62" s="44"/>
      <c r="AG62" s="181">
        <f>S62*30%</f>
        <v>44038.984500000006</v>
      </c>
      <c r="AH62" s="44"/>
      <c r="AI62" s="44"/>
      <c r="AJ62" s="44"/>
      <c r="AK62" s="44"/>
      <c r="AL62" s="44">
        <f t="shared" si="7"/>
        <v>256633.04550000004</v>
      </c>
      <c r="AM62" s="44">
        <f t="shared" si="8"/>
        <v>3079.5965460000007</v>
      </c>
      <c r="AN62" s="204">
        <f t="shared" si="9"/>
        <v>16</v>
      </c>
    </row>
    <row r="63" spans="1:40" s="2" customFormat="1" ht="39" x14ac:dyDescent="0.2">
      <c r="A63" s="56">
        <v>43</v>
      </c>
      <c r="B63" s="58" t="s">
        <v>116</v>
      </c>
      <c r="C63" s="61" t="s">
        <v>165</v>
      </c>
      <c r="D63" s="23" t="s">
        <v>37</v>
      </c>
      <c r="E63" s="26">
        <f t="shared" si="10"/>
        <v>0.375</v>
      </c>
      <c r="F63" s="56" t="s">
        <v>181</v>
      </c>
      <c r="G63" s="23" t="s">
        <v>70</v>
      </c>
      <c r="H63" s="185" t="s">
        <v>378</v>
      </c>
      <c r="I63" s="129">
        <v>4.74</v>
      </c>
      <c r="J63" s="44">
        <v>17697</v>
      </c>
      <c r="K63" s="24">
        <v>1.75</v>
      </c>
      <c r="L63" s="44">
        <f t="shared" si="1"/>
        <v>146796.61500000002</v>
      </c>
      <c r="M63" s="25">
        <f t="shared" si="2"/>
        <v>6</v>
      </c>
      <c r="N63" s="56"/>
      <c r="O63" s="44"/>
      <c r="P63" s="69">
        <v>6</v>
      </c>
      <c r="Q63" s="44">
        <f t="shared" si="14"/>
        <v>55048.730625000011</v>
      </c>
      <c r="R63" s="25"/>
      <c r="S63" s="44">
        <f t="shared" si="4"/>
        <v>55048.730625000011</v>
      </c>
      <c r="T63" s="44">
        <f t="shared" si="5"/>
        <v>5504.8730625000017</v>
      </c>
      <c r="U63" s="44"/>
      <c r="V63" s="72"/>
      <c r="W63" s="44">
        <f t="shared" si="11"/>
        <v>0</v>
      </c>
      <c r="X63" s="72"/>
      <c r="Y63" s="33"/>
      <c r="Z63" s="44"/>
      <c r="AA63" s="48"/>
      <c r="AB63" s="44"/>
      <c r="AC63" s="44">
        <f t="shared" si="6"/>
        <v>16514.619187500004</v>
      </c>
      <c r="AD63" s="26"/>
      <c r="AE63" s="44"/>
      <c r="AF63" s="44"/>
      <c r="AG63" s="181"/>
      <c r="AH63" s="44"/>
      <c r="AI63" s="44"/>
      <c r="AJ63" s="44"/>
      <c r="AK63" s="44"/>
      <c r="AL63" s="44">
        <f t="shared" si="7"/>
        <v>77068.222875000021</v>
      </c>
      <c r="AM63" s="44">
        <f t="shared" si="8"/>
        <v>924.81867450000016</v>
      </c>
      <c r="AN63" s="204">
        <f t="shared" si="9"/>
        <v>6</v>
      </c>
    </row>
    <row r="64" spans="1:40" s="2" customFormat="1" ht="39" x14ac:dyDescent="0.2">
      <c r="A64" s="56">
        <v>44</v>
      </c>
      <c r="B64" s="67" t="s">
        <v>117</v>
      </c>
      <c r="C64" s="61" t="s">
        <v>159</v>
      </c>
      <c r="D64" s="23" t="s">
        <v>37</v>
      </c>
      <c r="E64" s="26">
        <f t="shared" si="10"/>
        <v>1</v>
      </c>
      <c r="F64" s="56" t="s">
        <v>181</v>
      </c>
      <c r="G64" s="23" t="s">
        <v>70</v>
      </c>
      <c r="H64" s="185" t="s">
        <v>444</v>
      </c>
      <c r="I64" s="129">
        <v>4.66</v>
      </c>
      <c r="J64" s="44">
        <v>17697</v>
      </c>
      <c r="K64" s="24">
        <v>1.75</v>
      </c>
      <c r="L64" s="44">
        <f t="shared" si="1"/>
        <v>144319.035</v>
      </c>
      <c r="M64" s="25">
        <f t="shared" si="2"/>
        <v>16</v>
      </c>
      <c r="N64" s="56">
        <v>16</v>
      </c>
      <c r="O64" s="44">
        <f t="shared" si="3"/>
        <v>144319.035</v>
      </c>
      <c r="P64" s="69"/>
      <c r="Q64" s="44"/>
      <c r="R64" s="25"/>
      <c r="S64" s="44">
        <f t="shared" si="4"/>
        <v>144319.035</v>
      </c>
      <c r="T64" s="44">
        <f t="shared" si="5"/>
        <v>14431.9035</v>
      </c>
      <c r="U64" s="44"/>
      <c r="V64" s="72"/>
      <c r="W64" s="44">
        <f t="shared" si="11"/>
        <v>0</v>
      </c>
      <c r="X64" s="72">
        <v>16</v>
      </c>
      <c r="Y64" s="33">
        <v>0.25</v>
      </c>
      <c r="Z64" s="44">
        <f t="shared" si="12"/>
        <v>4424.25</v>
      </c>
      <c r="AA64" s="48">
        <f>3063*10</f>
        <v>30630</v>
      </c>
      <c r="AB64" s="44"/>
      <c r="AC64" s="44">
        <f t="shared" si="6"/>
        <v>43295.710500000001</v>
      </c>
      <c r="AD64" s="26">
        <v>16</v>
      </c>
      <c r="AE64" s="44">
        <f t="shared" si="13"/>
        <v>7078.8</v>
      </c>
      <c r="AF64" s="44"/>
      <c r="AG64" s="181">
        <f>+O64*30%</f>
        <v>43295.710500000001</v>
      </c>
      <c r="AH64" s="44"/>
      <c r="AI64" s="44"/>
      <c r="AJ64" s="44"/>
      <c r="AK64" s="44"/>
      <c r="AL64" s="44">
        <f t="shared" si="7"/>
        <v>287475.40950000001</v>
      </c>
      <c r="AM64" s="44">
        <f t="shared" si="8"/>
        <v>3449.7049139999999</v>
      </c>
      <c r="AN64" s="204">
        <f t="shared" si="9"/>
        <v>0</v>
      </c>
    </row>
    <row r="65" spans="1:40" s="2" customFormat="1" ht="28" x14ac:dyDescent="0.2">
      <c r="A65" s="56">
        <v>45</v>
      </c>
      <c r="B65" s="59" t="s">
        <v>118</v>
      </c>
      <c r="C65" s="61" t="s">
        <v>163</v>
      </c>
      <c r="D65" s="23" t="s">
        <v>37</v>
      </c>
      <c r="E65" s="26">
        <f t="shared" si="10"/>
        <v>0.9375</v>
      </c>
      <c r="F65" s="56" t="s">
        <v>180</v>
      </c>
      <c r="G65" s="23"/>
      <c r="H65" s="185" t="s">
        <v>392</v>
      </c>
      <c r="I65" s="129">
        <v>4.59</v>
      </c>
      <c r="J65" s="44">
        <v>17697</v>
      </c>
      <c r="K65" s="24">
        <v>1.75</v>
      </c>
      <c r="L65" s="44">
        <f t="shared" si="1"/>
        <v>142151.1525</v>
      </c>
      <c r="M65" s="25">
        <f t="shared" si="2"/>
        <v>15</v>
      </c>
      <c r="N65" s="56"/>
      <c r="O65" s="44"/>
      <c r="P65" s="69">
        <v>15</v>
      </c>
      <c r="Q65" s="44">
        <f t="shared" si="14"/>
        <v>133266.70546875001</v>
      </c>
      <c r="R65" s="25"/>
      <c r="S65" s="44">
        <f t="shared" si="4"/>
        <v>133266.70546875001</v>
      </c>
      <c r="T65" s="44">
        <f t="shared" si="5"/>
        <v>13326.670546875001</v>
      </c>
      <c r="U65" s="44"/>
      <c r="V65" s="72"/>
      <c r="W65" s="44">
        <f t="shared" si="11"/>
        <v>0</v>
      </c>
      <c r="X65" s="72"/>
      <c r="Y65" s="33"/>
      <c r="Z65" s="44"/>
      <c r="AA65" s="48"/>
      <c r="AB65" s="44"/>
      <c r="AC65" s="44">
        <f t="shared" si="6"/>
        <v>39980.011640625002</v>
      </c>
      <c r="AD65" s="26"/>
      <c r="AE65" s="44"/>
      <c r="AF65" s="44"/>
      <c r="AG65" s="181"/>
      <c r="AH65" s="44"/>
      <c r="AI65" s="44"/>
      <c r="AJ65" s="44"/>
      <c r="AK65" s="44"/>
      <c r="AL65" s="44">
        <f t="shared" si="7"/>
        <v>186573.38765625001</v>
      </c>
      <c r="AM65" s="44">
        <f t="shared" si="8"/>
        <v>2238.8806518749998</v>
      </c>
      <c r="AN65" s="204">
        <f t="shared" si="9"/>
        <v>15</v>
      </c>
    </row>
    <row r="66" spans="1:40" s="2" customFormat="1" ht="39" x14ac:dyDescent="0.2">
      <c r="A66" s="56">
        <v>46</v>
      </c>
      <c r="B66" s="59" t="s">
        <v>119</v>
      </c>
      <c r="C66" s="61" t="s">
        <v>165</v>
      </c>
      <c r="D66" s="23" t="s">
        <v>37</v>
      </c>
      <c r="E66" s="26">
        <f t="shared" si="10"/>
        <v>1.125</v>
      </c>
      <c r="F66" s="56" t="s">
        <v>181</v>
      </c>
      <c r="G66" s="23" t="s">
        <v>70</v>
      </c>
      <c r="H66" s="185" t="s">
        <v>445</v>
      </c>
      <c r="I66" s="129">
        <v>4.59</v>
      </c>
      <c r="J66" s="44">
        <v>17697</v>
      </c>
      <c r="K66" s="24">
        <v>1.75</v>
      </c>
      <c r="L66" s="44">
        <f t="shared" si="1"/>
        <v>142151.1525</v>
      </c>
      <c r="M66" s="25">
        <f t="shared" si="2"/>
        <v>18</v>
      </c>
      <c r="N66" s="56">
        <v>18</v>
      </c>
      <c r="O66" s="44">
        <f t="shared" si="3"/>
        <v>159920.04656250001</v>
      </c>
      <c r="P66" s="69"/>
      <c r="Q66" s="44"/>
      <c r="R66" s="25"/>
      <c r="S66" s="44">
        <f t="shared" si="4"/>
        <v>159920.04656250001</v>
      </c>
      <c r="T66" s="44">
        <f t="shared" si="5"/>
        <v>15992.004656250001</v>
      </c>
      <c r="U66" s="44"/>
      <c r="V66" s="72"/>
      <c r="W66" s="44">
        <f t="shared" si="11"/>
        <v>0</v>
      </c>
      <c r="X66" s="72"/>
      <c r="Y66" s="33"/>
      <c r="Z66" s="44"/>
      <c r="AA66" s="48"/>
      <c r="AB66" s="44"/>
      <c r="AC66" s="44">
        <f t="shared" si="6"/>
        <v>47976.013968749998</v>
      </c>
      <c r="AD66" s="26"/>
      <c r="AE66" s="44"/>
      <c r="AF66" s="44"/>
      <c r="AG66" s="181"/>
      <c r="AH66" s="44"/>
      <c r="AI66" s="44"/>
      <c r="AJ66" s="44"/>
      <c r="AK66" s="44"/>
      <c r="AL66" s="44">
        <f t="shared" si="7"/>
        <v>223888.0651875</v>
      </c>
      <c r="AM66" s="44">
        <f t="shared" si="8"/>
        <v>2686.6567822500001</v>
      </c>
      <c r="AN66" s="204">
        <f t="shared" si="9"/>
        <v>18</v>
      </c>
    </row>
    <row r="67" spans="1:40" s="2" customFormat="1" ht="39" x14ac:dyDescent="0.2">
      <c r="A67" s="56">
        <v>47</v>
      </c>
      <c r="B67" s="59" t="s">
        <v>120</v>
      </c>
      <c r="C67" s="61" t="s">
        <v>158</v>
      </c>
      <c r="D67" s="23" t="s">
        <v>37</v>
      </c>
      <c r="E67" s="26">
        <f t="shared" si="10"/>
        <v>1</v>
      </c>
      <c r="F67" s="56" t="s">
        <v>179</v>
      </c>
      <c r="G67" s="23" t="s">
        <v>69</v>
      </c>
      <c r="H67" s="185" t="s">
        <v>446</v>
      </c>
      <c r="I67" s="129">
        <v>4.6500000000000004</v>
      </c>
      <c r="J67" s="44">
        <v>17697</v>
      </c>
      <c r="K67" s="24">
        <v>1.75</v>
      </c>
      <c r="L67" s="44">
        <f t="shared" si="1"/>
        <v>144009.33750000002</v>
      </c>
      <c r="M67" s="25">
        <f t="shared" si="2"/>
        <v>16</v>
      </c>
      <c r="N67" s="56">
        <v>16</v>
      </c>
      <c r="O67" s="44">
        <f t="shared" si="3"/>
        <v>144009.33750000002</v>
      </c>
      <c r="P67" s="69"/>
      <c r="Q67" s="44"/>
      <c r="R67" s="25"/>
      <c r="S67" s="44">
        <f t="shared" si="4"/>
        <v>144009.33750000002</v>
      </c>
      <c r="T67" s="44">
        <f t="shared" si="5"/>
        <v>14400.933750000004</v>
      </c>
      <c r="U67" s="44"/>
      <c r="V67" s="72"/>
      <c r="W67" s="44">
        <f t="shared" si="11"/>
        <v>0</v>
      </c>
      <c r="X67" s="72"/>
      <c r="Y67" s="33"/>
      <c r="Z67" s="44"/>
      <c r="AA67" s="48"/>
      <c r="AB67" s="44"/>
      <c r="AC67" s="44">
        <f t="shared" si="6"/>
        <v>43202.801250000004</v>
      </c>
      <c r="AD67" s="26"/>
      <c r="AE67" s="44"/>
      <c r="AF67" s="44"/>
      <c r="AG67" s="181"/>
      <c r="AH67" s="181">
        <f>S67*35%</f>
        <v>50403.268125000002</v>
      </c>
      <c r="AI67" s="44"/>
      <c r="AJ67" s="44"/>
      <c r="AK67" s="44"/>
      <c r="AL67" s="44">
        <f t="shared" si="7"/>
        <v>252016.34062500004</v>
      </c>
      <c r="AM67" s="44">
        <f t="shared" si="8"/>
        <v>3024.1960875000004</v>
      </c>
      <c r="AN67" s="204">
        <f t="shared" si="9"/>
        <v>16</v>
      </c>
    </row>
    <row r="68" spans="1:40" s="2" customFormat="1" ht="28" x14ac:dyDescent="0.2">
      <c r="A68" s="56">
        <v>48</v>
      </c>
      <c r="B68" s="58" t="s">
        <v>121</v>
      </c>
      <c r="C68" s="61" t="s">
        <v>160</v>
      </c>
      <c r="D68" s="23" t="s">
        <v>37</v>
      </c>
      <c r="E68" s="26">
        <f t="shared" si="10"/>
        <v>0.5</v>
      </c>
      <c r="F68" s="56" t="s">
        <v>180</v>
      </c>
      <c r="G68" s="23"/>
      <c r="H68" s="185" t="s">
        <v>358</v>
      </c>
      <c r="I68" s="129">
        <v>4.0999999999999996</v>
      </c>
      <c r="J68" s="44">
        <v>17697</v>
      </c>
      <c r="K68" s="24">
        <v>1.75</v>
      </c>
      <c r="L68" s="44">
        <f t="shared" si="1"/>
        <v>126975.97499999999</v>
      </c>
      <c r="M68" s="25">
        <f t="shared" si="2"/>
        <v>8</v>
      </c>
      <c r="N68" s="56">
        <v>8</v>
      </c>
      <c r="O68" s="44">
        <f t="shared" si="3"/>
        <v>63487.987499999996</v>
      </c>
      <c r="P68" s="69"/>
      <c r="Q68" s="44"/>
      <c r="R68" s="25"/>
      <c r="S68" s="44">
        <f t="shared" si="4"/>
        <v>63487.987499999996</v>
      </c>
      <c r="T68" s="44">
        <f t="shared" si="5"/>
        <v>6348.7987499999999</v>
      </c>
      <c r="U68" s="44"/>
      <c r="V68" s="72"/>
      <c r="W68" s="44">
        <f t="shared" si="11"/>
        <v>0</v>
      </c>
      <c r="X68" s="72">
        <v>4</v>
      </c>
      <c r="Y68" s="33">
        <v>0.5</v>
      </c>
      <c r="Z68" s="44">
        <f t="shared" si="12"/>
        <v>2212.125</v>
      </c>
      <c r="AA68" s="48"/>
      <c r="AB68" s="44"/>
      <c r="AC68" s="44">
        <f t="shared" si="6"/>
        <v>19046.396249999998</v>
      </c>
      <c r="AD68" s="26">
        <v>8</v>
      </c>
      <c r="AE68" s="44">
        <f t="shared" si="13"/>
        <v>3539.4</v>
      </c>
      <c r="AF68" s="44"/>
      <c r="AG68" s="181"/>
      <c r="AH68" s="44"/>
      <c r="AI68" s="44"/>
      <c r="AJ68" s="44"/>
      <c r="AK68" s="44"/>
      <c r="AL68" s="44">
        <f t="shared" si="7"/>
        <v>94634.70749999999</v>
      </c>
      <c r="AM68" s="44">
        <f t="shared" si="8"/>
        <v>1135.6164899999997</v>
      </c>
      <c r="AN68" s="204">
        <f t="shared" si="9"/>
        <v>4</v>
      </c>
    </row>
    <row r="69" spans="1:40" s="2" customFormat="1" ht="39" x14ac:dyDescent="0.2">
      <c r="A69" s="56">
        <v>49</v>
      </c>
      <c r="B69" s="58" t="s">
        <v>122</v>
      </c>
      <c r="C69" s="61" t="s">
        <v>158</v>
      </c>
      <c r="D69" s="23" t="s">
        <v>37</v>
      </c>
      <c r="E69" s="26">
        <f t="shared" si="10"/>
        <v>1.0625</v>
      </c>
      <c r="F69" s="56" t="s">
        <v>181</v>
      </c>
      <c r="G69" s="23" t="s">
        <v>70</v>
      </c>
      <c r="H69" s="185" t="s">
        <v>447</v>
      </c>
      <c r="I69" s="129">
        <v>4.8099999999999996</v>
      </c>
      <c r="J69" s="44">
        <v>17697</v>
      </c>
      <c r="K69" s="24">
        <v>1.75</v>
      </c>
      <c r="L69" s="44">
        <f t="shared" si="1"/>
        <v>148964.4975</v>
      </c>
      <c r="M69" s="25">
        <f t="shared" si="2"/>
        <v>17</v>
      </c>
      <c r="N69" s="56">
        <v>17</v>
      </c>
      <c r="O69" s="44">
        <f t="shared" si="3"/>
        <v>158274.77859375</v>
      </c>
      <c r="P69" s="69"/>
      <c r="Q69" s="44"/>
      <c r="R69" s="25"/>
      <c r="S69" s="44">
        <f t="shared" si="4"/>
        <v>158274.77859375</v>
      </c>
      <c r="T69" s="44">
        <f t="shared" si="5"/>
        <v>15827.477859375002</v>
      </c>
      <c r="U69" s="44"/>
      <c r="V69" s="72"/>
      <c r="W69" s="44">
        <f t="shared" si="11"/>
        <v>0</v>
      </c>
      <c r="X69" s="72"/>
      <c r="Y69" s="33"/>
      <c r="Z69" s="44"/>
      <c r="AA69" s="48"/>
      <c r="AB69" s="44"/>
      <c r="AC69" s="44">
        <f t="shared" si="6"/>
        <v>47482.433578124997</v>
      </c>
      <c r="AD69" s="26">
        <v>17</v>
      </c>
      <c r="AE69" s="44">
        <f t="shared" si="13"/>
        <v>7521.2250000000004</v>
      </c>
      <c r="AF69" s="44">
        <f>SUM(J69*0.2)</f>
        <v>3539.4</v>
      </c>
      <c r="AG69" s="181">
        <f>S69*30%</f>
        <v>47482.433578124997</v>
      </c>
      <c r="AH69" s="44"/>
      <c r="AI69" s="44"/>
      <c r="AJ69" s="44"/>
      <c r="AK69" s="44"/>
      <c r="AL69" s="44">
        <f t="shared" si="7"/>
        <v>280127.74860937498</v>
      </c>
      <c r="AM69" s="44">
        <f t="shared" si="8"/>
        <v>3361.5329833124997</v>
      </c>
      <c r="AN69" s="204">
        <f t="shared" si="9"/>
        <v>17</v>
      </c>
    </row>
    <row r="70" spans="1:40" s="2" customFormat="1" ht="39" x14ac:dyDescent="0.2">
      <c r="A70" s="56">
        <v>50</v>
      </c>
      <c r="B70" s="58" t="s">
        <v>123</v>
      </c>
      <c r="C70" s="61" t="s">
        <v>158</v>
      </c>
      <c r="D70" s="23" t="s">
        <v>37</v>
      </c>
      <c r="E70" s="26">
        <f t="shared" si="10"/>
        <v>1.125</v>
      </c>
      <c r="F70" s="56" t="s">
        <v>181</v>
      </c>
      <c r="G70" s="23" t="s">
        <v>70</v>
      </c>
      <c r="H70" s="185" t="s">
        <v>385</v>
      </c>
      <c r="I70" s="129">
        <v>4.74</v>
      </c>
      <c r="J70" s="44">
        <v>17697</v>
      </c>
      <c r="K70" s="24">
        <v>1.75</v>
      </c>
      <c r="L70" s="44">
        <f t="shared" si="1"/>
        <v>146796.61500000002</v>
      </c>
      <c r="M70" s="25">
        <f t="shared" si="2"/>
        <v>18</v>
      </c>
      <c r="N70" s="56"/>
      <c r="O70" s="44"/>
      <c r="P70" s="69">
        <v>18</v>
      </c>
      <c r="Q70" s="44">
        <f t="shared" si="14"/>
        <v>165146.19187500002</v>
      </c>
      <c r="R70" s="25"/>
      <c r="S70" s="44">
        <f t="shared" si="4"/>
        <v>165146.19187500002</v>
      </c>
      <c r="T70" s="44">
        <f t="shared" si="5"/>
        <v>16514.619187500004</v>
      </c>
      <c r="U70" s="44"/>
      <c r="V70" s="72"/>
      <c r="W70" s="44">
        <f t="shared" si="11"/>
        <v>0</v>
      </c>
      <c r="X70" s="72"/>
      <c r="Y70" s="33"/>
      <c r="Z70" s="44"/>
      <c r="AA70" s="48"/>
      <c r="AB70" s="44"/>
      <c r="AC70" s="44">
        <f t="shared" si="6"/>
        <v>49543.857562500001</v>
      </c>
      <c r="AD70" s="26">
        <v>18</v>
      </c>
      <c r="AE70" s="44">
        <f t="shared" si="13"/>
        <v>7963.6500000000005</v>
      </c>
      <c r="AF70" s="44"/>
      <c r="AG70" s="181">
        <f>S70*30%</f>
        <v>49543.857562500001</v>
      </c>
      <c r="AH70" s="44"/>
      <c r="AI70" s="44"/>
      <c r="AJ70" s="44"/>
      <c r="AK70" s="44"/>
      <c r="AL70" s="44">
        <f t="shared" si="7"/>
        <v>288712.17618750001</v>
      </c>
      <c r="AM70" s="44">
        <f t="shared" si="8"/>
        <v>3464.5461142500003</v>
      </c>
      <c r="AN70" s="204">
        <f t="shared" si="9"/>
        <v>18</v>
      </c>
    </row>
    <row r="71" spans="1:40" s="2" customFormat="1" ht="39" x14ac:dyDescent="0.2">
      <c r="A71" s="56">
        <v>51</v>
      </c>
      <c r="B71" s="60" t="s">
        <v>124</v>
      </c>
      <c r="C71" s="61" t="s">
        <v>158</v>
      </c>
      <c r="D71" s="23" t="s">
        <v>37</v>
      </c>
      <c r="E71" s="26">
        <f t="shared" si="10"/>
        <v>0.5</v>
      </c>
      <c r="F71" s="56" t="s">
        <v>181</v>
      </c>
      <c r="G71" s="23" t="s">
        <v>70</v>
      </c>
      <c r="H71" s="185" t="s">
        <v>369</v>
      </c>
      <c r="I71" s="129">
        <v>4.51</v>
      </c>
      <c r="J71" s="44">
        <v>17697</v>
      </c>
      <c r="K71" s="24">
        <v>1.75</v>
      </c>
      <c r="L71" s="44">
        <f t="shared" si="1"/>
        <v>139673.57249999998</v>
      </c>
      <c r="M71" s="25">
        <f t="shared" si="2"/>
        <v>8</v>
      </c>
      <c r="N71" s="56">
        <v>8</v>
      </c>
      <c r="O71" s="44">
        <f t="shared" si="3"/>
        <v>69836.78624999999</v>
      </c>
      <c r="P71" s="69"/>
      <c r="Q71" s="44"/>
      <c r="R71" s="25"/>
      <c r="S71" s="44">
        <f t="shared" si="4"/>
        <v>69836.78624999999</v>
      </c>
      <c r="T71" s="44">
        <f t="shared" si="5"/>
        <v>6983.6786249999996</v>
      </c>
      <c r="U71" s="44"/>
      <c r="V71" s="72"/>
      <c r="W71" s="44">
        <f t="shared" si="11"/>
        <v>0</v>
      </c>
      <c r="X71" s="72"/>
      <c r="Y71" s="33"/>
      <c r="Z71" s="44"/>
      <c r="AA71" s="48"/>
      <c r="AB71" s="44">
        <f>SUM(J71*2)</f>
        <v>35394</v>
      </c>
      <c r="AC71" s="44">
        <f t="shared" si="6"/>
        <v>20951.035874999998</v>
      </c>
      <c r="AD71" s="26">
        <v>8</v>
      </c>
      <c r="AE71" s="44">
        <f t="shared" si="13"/>
        <v>3539.4</v>
      </c>
      <c r="AF71" s="44"/>
      <c r="AG71" s="181">
        <f>+O71*30%</f>
        <v>20951.035874999998</v>
      </c>
      <c r="AH71" s="44"/>
      <c r="AI71" s="44"/>
      <c r="AJ71" s="44"/>
      <c r="AK71" s="44"/>
      <c r="AL71" s="44">
        <f t="shared" si="7"/>
        <v>157655.93662499997</v>
      </c>
      <c r="AM71" s="44">
        <f t="shared" si="8"/>
        <v>1891.8712394999998</v>
      </c>
      <c r="AN71" s="204">
        <f t="shared" si="9"/>
        <v>8</v>
      </c>
    </row>
    <row r="72" spans="1:40" s="2" customFormat="1" ht="39" x14ac:dyDescent="0.2">
      <c r="A72" s="56">
        <v>52</v>
      </c>
      <c r="B72" s="58" t="s">
        <v>125</v>
      </c>
      <c r="C72" s="61" t="s">
        <v>167</v>
      </c>
      <c r="D72" s="23" t="s">
        <v>37</v>
      </c>
      <c r="E72" s="26">
        <f t="shared" si="10"/>
        <v>1</v>
      </c>
      <c r="F72" s="56" t="s">
        <v>181</v>
      </c>
      <c r="G72" s="23" t="s">
        <v>70</v>
      </c>
      <c r="H72" s="192" t="s">
        <v>448</v>
      </c>
      <c r="I72" s="132">
        <v>4.4400000000000004</v>
      </c>
      <c r="J72" s="44">
        <v>17697</v>
      </c>
      <c r="K72" s="24">
        <v>1.75</v>
      </c>
      <c r="L72" s="44">
        <f t="shared" si="1"/>
        <v>137505.69</v>
      </c>
      <c r="M72" s="25">
        <f t="shared" si="2"/>
        <v>16</v>
      </c>
      <c r="N72" s="56">
        <v>16</v>
      </c>
      <c r="O72" s="44">
        <f t="shared" si="3"/>
        <v>137505.69</v>
      </c>
      <c r="P72" s="69"/>
      <c r="Q72" s="44"/>
      <c r="R72" s="25"/>
      <c r="S72" s="44">
        <f t="shared" si="4"/>
        <v>137505.69</v>
      </c>
      <c r="T72" s="44">
        <f t="shared" si="5"/>
        <v>13750.569000000001</v>
      </c>
      <c r="U72" s="44"/>
      <c r="V72" s="72"/>
      <c r="W72" s="44">
        <f t="shared" si="11"/>
        <v>0</v>
      </c>
      <c r="X72" s="72">
        <v>16</v>
      </c>
      <c r="Y72" s="33">
        <v>0.5</v>
      </c>
      <c r="Z72" s="44">
        <f t="shared" si="12"/>
        <v>8848.5</v>
      </c>
      <c r="AA72" s="48"/>
      <c r="AB72" s="44"/>
      <c r="AC72" s="44">
        <f t="shared" si="6"/>
        <v>41251.707000000002</v>
      </c>
      <c r="AD72" s="26">
        <v>16</v>
      </c>
      <c r="AE72" s="44">
        <f t="shared" si="13"/>
        <v>7078.8</v>
      </c>
      <c r="AF72" s="44"/>
      <c r="AG72" s="181">
        <f>+O72*30%</f>
        <v>41251.707000000002</v>
      </c>
      <c r="AH72" s="44"/>
      <c r="AI72" s="44"/>
      <c r="AJ72" s="44"/>
      <c r="AK72" s="44"/>
      <c r="AL72" s="44">
        <f t="shared" si="7"/>
        <v>249686.973</v>
      </c>
      <c r="AM72" s="44">
        <f t="shared" si="8"/>
        <v>2996.2436760000001</v>
      </c>
      <c r="AN72" s="204">
        <f t="shared" si="9"/>
        <v>0</v>
      </c>
    </row>
    <row r="73" spans="1:40" s="2" customFormat="1" ht="52" x14ac:dyDescent="0.2">
      <c r="A73" s="56">
        <v>53</v>
      </c>
      <c r="B73" s="61" t="s">
        <v>126</v>
      </c>
      <c r="C73" s="61" t="s">
        <v>168</v>
      </c>
      <c r="D73" s="23" t="s">
        <v>37</v>
      </c>
      <c r="E73" s="26">
        <f t="shared" si="10"/>
        <v>1</v>
      </c>
      <c r="F73" s="56" t="s">
        <v>176</v>
      </c>
      <c r="G73" s="23" t="s">
        <v>37</v>
      </c>
      <c r="H73" s="192" t="s">
        <v>449</v>
      </c>
      <c r="I73" s="132">
        <v>5.24</v>
      </c>
      <c r="J73" s="44">
        <v>17697</v>
      </c>
      <c r="K73" s="24">
        <v>1.75</v>
      </c>
      <c r="L73" s="44">
        <f t="shared" si="1"/>
        <v>162281.49000000002</v>
      </c>
      <c r="M73" s="25">
        <f t="shared" si="2"/>
        <v>16</v>
      </c>
      <c r="N73" s="56">
        <v>16</v>
      </c>
      <c r="O73" s="44">
        <f t="shared" si="3"/>
        <v>162281.49000000002</v>
      </c>
      <c r="P73" s="69"/>
      <c r="Q73" s="44"/>
      <c r="R73" s="25"/>
      <c r="S73" s="44">
        <f t="shared" si="4"/>
        <v>162281.49000000002</v>
      </c>
      <c r="T73" s="44">
        <f t="shared" si="5"/>
        <v>16228.149000000003</v>
      </c>
      <c r="U73" s="44"/>
      <c r="V73" s="72"/>
      <c r="W73" s="44">
        <f t="shared" si="11"/>
        <v>0</v>
      </c>
      <c r="X73" s="72"/>
      <c r="Y73" s="33"/>
      <c r="Z73" s="44"/>
      <c r="AA73" s="48"/>
      <c r="AB73" s="44"/>
      <c r="AC73" s="44">
        <f t="shared" si="6"/>
        <v>48684.447000000007</v>
      </c>
      <c r="AD73" s="26"/>
      <c r="AE73" s="44"/>
      <c r="AF73" s="44"/>
      <c r="AG73" s="181"/>
      <c r="AH73" s="44"/>
      <c r="AI73" s="44"/>
      <c r="AJ73" s="44">
        <f>S73*50%</f>
        <v>81140.74500000001</v>
      </c>
      <c r="AK73" s="44"/>
      <c r="AL73" s="44">
        <f t="shared" si="7"/>
        <v>308334.83100000001</v>
      </c>
      <c r="AM73" s="44">
        <f t="shared" si="8"/>
        <v>3700.0179720000001</v>
      </c>
      <c r="AN73" s="204">
        <f t="shared" si="9"/>
        <v>16</v>
      </c>
    </row>
    <row r="74" spans="1:40" s="2" customFormat="1" ht="39" x14ac:dyDescent="0.2">
      <c r="A74" s="56">
        <v>54</v>
      </c>
      <c r="B74" s="61" t="s">
        <v>127</v>
      </c>
      <c r="C74" s="61" t="s">
        <v>159</v>
      </c>
      <c r="D74" s="23" t="s">
        <v>37</v>
      </c>
      <c r="E74" s="26">
        <f t="shared" si="10"/>
        <v>0.5</v>
      </c>
      <c r="F74" s="56" t="s">
        <v>176</v>
      </c>
      <c r="G74" s="23" t="s">
        <v>37</v>
      </c>
      <c r="H74" s="192" t="s">
        <v>362</v>
      </c>
      <c r="I74" s="132">
        <v>5.08</v>
      </c>
      <c r="J74" s="44">
        <v>17697</v>
      </c>
      <c r="K74" s="24">
        <v>1.75</v>
      </c>
      <c r="L74" s="44">
        <f t="shared" si="1"/>
        <v>157326.33000000002</v>
      </c>
      <c r="M74" s="25">
        <f t="shared" si="2"/>
        <v>8</v>
      </c>
      <c r="N74" s="56">
        <v>8</v>
      </c>
      <c r="O74" s="44">
        <f t="shared" si="3"/>
        <v>78663.165000000008</v>
      </c>
      <c r="P74" s="69"/>
      <c r="Q74" s="44"/>
      <c r="R74" s="25"/>
      <c r="S74" s="44">
        <f t="shared" si="4"/>
        <v>78663.165000000008</v>
      </c>
      <c r="T74" s="44">
        <f t="shared" si="5"/>
        <v>7866.3165000000008</v>
      </c>
      <c r="U74" s="44"/>
      <c r="V74" s="72"/>
      <c r="W74" s="44">
        <f t="shared" si="11"/>
        <v>0</v>
      </c>
      <c r="X74" s="72"/>
      <c r="Y74" s="33"/>
      <c r="Z74" s="44"/>
      <c r="AA74" s="48">
        <f>3063*10</f>
        <v>30630</v>
      </c>
      <c r="AB74" s="44"/>
      <c r="AC74" s="44">
        <f t="shared" si="6"/>
        <v>23598.949500000002</v>
      </c>
      <c r="AD74" s="26">
        <v>8</v>
      </c>
      <c r="AE74" s="44">
        <f t="shared" si="13"/>
        <v>3539.4</v>
      </c>
      <c r="AF74" s="44"/>
      <c r="AG74" s="181"/>
      <c r="AH74" s="44"/>
      <c r="AI74" s="44"/>
      <c r="AJ74" s="44"/>
      <c r="AK74" s="44"/>
      <c r="AL74" s="44">
        <f t="shared" si="7"/>
        <v>144297.83100000001</v>
      </c>
      <c r="AM74" s="44">
        <f t="shared" si="8"/>
        <v>1731.5739720000001</v>
      </c>
      <c r="AN74" s="204">
        <f t="shared" si="9"/>
        <v>8</v>
      </c>
    </row>
    <row r="75" spans="1:40" s="2" customFormat="1" ht="39" x14ac:dyDescent="0.2">
      <c r="A75" s="56">
        <v>55</v>
      </c>
      <c r="B75" s="61" t="s">
        <v>128</v>
      </c>
      <c r="C75" s="199" t="s">
        <v>169</v>
      </c>
      <c r="D75" s="23" t="s">
        <v>37</v>
      </c>
      <c r="E75" s="26">
        <f t="shared" si="10"/>
        <v>1.25</v>
      </c>
      <c r="F75" s="56" t="s">
        <v>176</v>
      </c>
      <c r="G75" s="23" t="s">
        <v>37</v>
      </c>
      <c r="H75" s="192" t="s">
        <v>443</v>
      </c>
      <c r="I75" s="132">
        <v>5.01</v>
      </c>
      <c r="J75" s="44">
        <v>17697</v>
      </c>
      <c r="K75" s="24">
        <v>1.75</v>
      </c>
      <c r="L75" s="44">
        <f t="shared" si="1"/>
        <v>155158.44749999998</v>
      </c>
      <c r="M75" s="25">
        <f t="shared" si="2"/>
        <v>20</v>
      </c>
      <c r="N75" s="56">
        <v>20</v>
      </c>
      <c r="O75" s="44">
        <f t="shared" si="3"/>
        <v>193948.05937499998</v>
      </c>
      <c r="P75" s="69"/>
      <c r="Q75" s="44"/>
      <c r="R75" s="25"/>
      <c r="S75" s="44">
        <f t="shared" si="4"/>
        <v>193948.05937499998</v>
      </c>
      <c r="T75" s="44">
        <f t="shared" si="5"/>
        <v>19394.805937499998</v>
      </c>
      <c r="U75" s="44"/>
      <c r="V75" s="72"/>
      <c r="W75" s="44">
        <f t="shared" si="11"/>
        <v>0</v>
      </c>
      <c r="X75" s="72"/>
      <c r="Y75" s="33"/>
      <c r="Z75" s="44"/>
      <c r="AA75" s="48"/>
      <c r="AB75" s="44"/>
      <c r="AC75" s="44">
        <f t="shared" si="6"/>
        <v>58184.417812499996</v>
      </c>
      <c r="AD75" s="26">
        <v>20</v>
      </c>
      <c r="AE75" s="44">
        <f t="shared" si="13"/>
        <v>8848.5</v>
      </c>
      <c r="AF75" s="44"/>
      <c r="AG75" s="181"/>
      <c r="AH75" s="44"/>
      <c r="AI75" s="44"/>
      <c r="AJ75" s="44">
        <f>S75*50%</f>
        <v>96974.029687499991</v>
      </c>
      <c r="AK75" s="44"/>
      <c r="AL75" s="44">
        <f t="shared" si="7"/>
        <v>377349.81281249993</v>
      </c>
      <c r="AM75" s="44">
        <f t="shared" si="8"/>
        <v>4528.1977537499988</v>
      </c>
      <c r="AN75" s="204">
        <f t="shared" si="9"/>
        <v>20</v>
      </c>
    </row>
    <row r="76" spans="1:40" s="2" customFormat="1" ht="39" x14ac:dyDescent="0.2">
      <c r="A76" s="56">
        <v>56</v>
      </c>
      <c r="B76" s="61" t="s">
        <v>129</v>
      </c>
      <c r="C76" s="61" t="s">
        <v>169</v>
      </c>
      <c r="D76" s="23" t="s">
        <v>37</v>
      </c>
      <c r="E76" s="26">
        <f t="shared" si="10"/>
        <v>1</v>
      </c>
      <c r="F76" s="56" t="s">
        <v>179</v>
      </c>
      <c r="G76" s="23" t="s">
        <v>69</v>
      </c>
      <c r="H76" s="192" t="s">
        <v>402</v>
      </c>
      <c r="I76" s="132">
        <v>4.8600000000000003</v>
      </c>
      <c r="J76" s="44">
        <v>17697</v>
      </c>
      <c r="K76" s="24">
        <v>1.75</v>
      </c>
      <c r="L76" s="44">
        <f t="shared" si="1"/>
        <v>150512.98500000002</v>
      </c>
      <c r="M76" s="25">
        <f t="shared" si="2"/>
        <v>16</v>
      </c>
      <c r="N76" s="56">
        <v>16</v>
      </c>
      <c r="O76" s="44">
        <f t="shared" si="3"/>
        <v>150512.98500000002</v>
      </c>
      <c r="P76" s="69"/>
      <c r="Q76" s="44"/>
      <c r="R76" s="25"/>
      <c r="S76" s="44">
        <f t="shared" si="4"/>
        <v>150512.98500000002</v>
      </c>
      <c r="T76" s="44">
        <f t="shared" si="5"/>
        <v>15051.298500000003</v>
      </c>
      <c r="U76" s="44"/>
      <c r="V76" s="72"/>
      <c r="W76" s="44">
        <f t="shared" si="11"/>
        <v>0</v>
      </c>
      <c r="X76" s="72">
        <v>16</v>
      </c>
      <c r="Y76" s="33">
        <v>0.5</v>
      </c>
      <c r="Z76" s="44">
        <f t="shared" si="12"/>
        <v>8848.5</v>
      </c>
      <c r="AA76" s="48"/>
      <c r="AB76" s="44"/>
      <c r="AC76" s="44">
        <f t="shared" si="6"/>
        <v>45153.895500000006</v>
      </c>
      <c r="AD76" s="26">
        <v>16</v>
      </c>
      <c r="AE76" s="44">
        <f t="shared" si="13"/>
        <v>7078.8</v>
      </c>
      <c r="AF76" s="44"/>
      <c r="AG76" s="181"/>
      <c r="AH76" s="181">
        <f>S76*35%</f>
        <v>52679.544750000001</v>
      </c>
      <c r="AI76" s="44"/>
      <c r="AJ76" s="44"/>
      <c r="AK76" s="44"/>
      <c r="AL76" s="44">
        <f t="shared" si="7"/>
        <v>279325.02375000005</v>
      </c>
      <c r="AM76" s="44">
        <f t="shared" si="8"/>
        <v>3351.9002850000006</v>
      </c>
      <c r="AN76" s="204">
        <f t="shared" si="9"/>
        <v>0</v>
      </c>
    </row>
    <row r="77" spans="1:40" s="2" customFormat="1" ht="39" x14ac:dyDescent="0.2">
      <c r="A77" s="56">
        <v>57</v>
      </c>
      <c r="B77" s="60" t="s">
        <v>130</v>
      </c>
      <c r="C77" s="61" t="s">
        <v>170</v>
      </c>
      <c r="D77" s="23" t="s">
        <v>37</v>
      </c>
      <c r="E77" s="26">
        <f t="shared" si="10"/>
        <v>1</v>
      </c>
      <c r="F77" s="56" t="s">
        <v>180</v>
      </c>
      <c r="G77" s="23"/>
      <c r="H77" s="192" t="s">
        <v>401</v>
      </c>
      <c r="I77" s="132">
        <v>4.38</v>
      </c>
      <c r="J77" s="44">
        <v>17697</v>
      </c>
      <c r="K77" s="24">
        <v>1.75</v>
      </c>
      <c r="L77" s="44">
        <f t="shared" si="1"/>
        <v>135647.505</v>
      </c>
      <c r="M77" s="25">
        <f t="shared" si="2"/>
        <v>16</v>
      </c>
      <c r="N77" s="56">
        <v>16</v>
      </c>
      <c r="O77" s="44">
        <f t="shared" si="3"/>
        <v>135647.505</v>
      </c>
      <c r="P77" s="69"/>
      <c r="Q77" s="44"/>
      <c r="R77" s="25"/>
      <c r="S77" s="44">
        <f t="shared" si="4"/>
        <v>135647.505</v>
      </c>
      <c r="T77" s="44">
        <f t="shared" si="5"/>
        <v>13564.750500000002</v>
      </c>
      <c r="U77" s="44"/>
      <c r="V77" s="72"/>
      <c r="W77" s="44">
        <f t="shared" si="11"/>
        <v>0</v>
      </c>
      <c r="X77" s="72"/>
      <c r="Y77" s="33"/>
      <c r="Z77" s="44"/>
      <c r="AA77" s="48">
        <f>3063*10</f>
        <v>30630</v>
      </c>
      <c r="AB77" s="44"/>
      <c r="AC77" s="44">
        <f t="shared" si="6"/>
        <v>40694.251499999998</v>
      </c>
      <c r="AD77" s="26">
        <v>16</v>
      </c>
      <c r="AE77" s="44">
        <f t="shared" si="13"/>
        <v>7078.8</v>
      </c>
      <c r="AF77" s="44"/>
      <c r="AG77" s="181"/>
      <c r="AH77" s="44"/>
      <c r="AI77" s="44"/>
      <c r="AJ77" s="44"/>
      <c r="AK77" s="44"/>
      <c r="AL77" s="44">
        <f t="shared" si="7"/>
        <v>227615.307</v>
      </c>
      <c r="AM77" s="44">
        <f t="shared" si="8"/>
        <v>2731.3836839999999</v>
      </c>
      <c r="AN77" s="204">
        <f t="shared" si="9"/>
        <v>16</v>
      </c>
    </row>
    <row r="78" spans="1:40" s="2" customFormat="1" ht="39" x14ac:dyDescent="0.2">
      <c r="A78" s="56">
        <v>58</v>
      </c>
      <c r="B78" s="61" t="s">
        <v>131</v>
      </c>
      <c r="C78" s="61" t="s">
        <v>167</v>
      </c>
      <c r="D78" s="23" t="s">
        <v>37</v>
      </c>
      <c r="E78" s="26">
        <f t="shared" si="10"/>
        <v>1</v>
      </c>
      <c r="F78" s="56" t="s">
        <v>181</v>
      </c>
      <c r="G78" s="23" t="s">
        <v>70</v>
      </c>
      <c r="H78" s="192" t="s">
        <v>450</v>
      </c>
      <c r="I78" s="132">
        <v>4.59</v>
      </c>
      <c r="J78" s="44">
        <v>17697</v>
      </c>
      <c r="K78" s="24">
        <v>1.75</v>
      </c>
      <c r="L78" s="44">
        <f t="shared" si="1"/>
        <v>142151.1525</v>
      </c>
      <c r="M78" s="25">
        <f t="shared" si="2"/>
        <v>16</v>
      </c>
      <c r="N78" s="56">
        <v>16</v>
      </c>
      <c r="O78" s="44">
        <f t="shared" si="3"/>
        <v>142151.1525</v>
      </c>
      <c r="P78" s="69"/>
      <c r="Q78" s="44"/>
      <c r="R78" s="25"/>
      <c r="S78" s="44">
        <f t="shared" si="4"/>
        <v>142151.1525</v>
      </c>
      <c r="T78" s="44">
        <f t="shared" si="5"/>
        <v>14215.115250000001</v>
      </c>
      <c r="U78" s="44"/>
      <c r="V78" s="72"/>
      <c r="W78" s="44">
        <f t="shared" si="11"/>
        <v>0</v>
      </c>
      <c r="X78" s="72"/>
      <c r="Y78" s="33"/>
      <c r="Z78" s="44"/>
      <c r="AA78" s="48">
        <f>3063*10</f>
        <v>30630</v>
      </c>
      <c r="AB78" s="44"/>
      <c r="AC78" s="44">
        <f t="shared" si="6"/>
        <v>42645.34575</v>
      </c>
      <c r="AD78" s="26">
        <v>16</v>
      </c>
      <c r="AE78" s="44">
        <f t="shared" si="13"/>
        <v>7078.8</v>
      </c>
      <c r="AF78" s="44"/>
      <c r="AG78" s="181">
        <f>+O78*30%</f>
        <v>42645.34575</v>
      </c>
      <c r="AH78" s="44"/>
      <c r="AI78" s="44"/>
      <c r="AJ78" s="44"/>
      <c r="AK78" s="44"/>
      <c r="AL78" s="44">
        <f t="shared" si="7"/>
        <v>279365.75925</v>
      </c>
      <c r="AM78" s="44">
        <f t="shared" si="8"/>
        <v>3352.389111</v>
      </c>
      <c r="AN78" s="204">
        <f t="shared" si="9"/>
        <v>16</v>
      </c>
    </row>
    <row r="79" spans="1:40" s="2" customFormat="1" ht="39" x14ac:dyDescent="0.2">
      <c r="A79" s="56">
        <v>59</v>
      </c>
      <c r="B79" s="60" t="s">
        <v>132</v>
      </c>
      <c r="C79" s="61" t="s">
        <v>157</v>
      </c>
      <c r="D79" s="23" t="s">
        <v>37</v>
      </c>
      <c r="E79" s="26">
        <f t="shared" si="10"/>
        <v>0.5</v>
      </c>
      <c r="F79" s="56" t="s">
        <v>176</v>
      </c>
      <c r="G79" s="110" t="s">
        <v>37</v>
      </c>
      <c r="H79" s="192" t="s">
        <v>376</v>
      </c>
      <c r="I79" s="132">
        <v>5.08</v>
      </c>
      <c r="J79" s="44">
        <v>17697</v>
      </c>
      <c r="K79" s="24">
        <v>1.75</v>
      </c>
      <c r="L79" s="44">
        <f t="shared" si="1"/>
        <v>157326.33000000002</v>
      </c>
      <c r="M79" s="25">
        <f t="shared" si="2"/>
        <v>8</v>
      </c>
      <c r="N79" s="202">
        <v>8</v>
      </c>
      <c r="O79" s="44">
        <f t="shared" si="3"/>
        <v>78663.165000000008</v>
      </c>
      <c r="P79" s="206"/>
      <c r="Q79" s="44"/>
      <c r="R79" s="25"/>
      <c r="S79" s="44">
        <f t="shared" si="4"/>
        <v>78663.165000000008</v>
      </c>
      <c r="T79" s="44">
        <f t="shared" si="5"/>
        <v>7866.3165000000008</v>
      </c>
      <c r="U79" s="44"/>
      <c r="V79" s="207"/>
      <c r="W79" s="44">
        <f t="shared" si="11"/>
        <v>0</v>
      </c>
      <c r="X79" s="207">
        <v>8</v>
      </c>
      <c r="Y79" s="33">
        <v>0.5</v>
      </c>
      <c r="Z79" s="44">
        <f t="shared" si="12"/>
        <v>4424.25</v>
      </c>
      <c r="AA79" s="48"/>
      <c r="AB79" s="44"/>
      <c r="AC79" s="44">
        <f t="shared" si="6"/>
        <v>23598.949500000002</v>
      </c>
      <c r="AD79" s="26">
        <v>8</v>
      </c>
      <c r="AE79" s="44">
        <f t="shared" si="13"/>
        <v>3539.4</v>
      </c>
      <c r="AF79" s="44"/>
      <c r="AG79" s="181"/>
      <c r="AH79" s="44"/>
      <c r="AI79" s="44"/>
      <c r="AJ79" s="44">
        <f>S79*50%</f>
        <v>39331.582500000004</v>
      </c>
      <c r="AK79" s="44"/>
      <c r="AL79" s="44">
        <f t="shared" si="7"/>
        <v>157423.66350000002</v>
      </c>
      <c r="AM79" s="44">
        <f t="shared" si="8"/>
        <v>1889.0839620000004</v>
      </c>
      <c r="AN79" s="204">
        <f t="shared" si="9"/>
        <v>0</v>
      </c>
    </row>
    <row r="80" spans="1:40" s="2" customFormat="1" ht="39" x14ac:dyDescent="0.2">
      <c r="A80" s="56">
        <v>60</v>
      </c>
      <c r="B80" s="60" t="s">
        <v>133</v>
      </c>
      <c r="C80" s="61" t="s">
        <v>148</v>
      </c>
      <c r="D80" s="23" t="s">
        <v>37</v>
      </c>
      <c r="E80" s="26">
        <f t="shared" si="10"/>
        <v>0.25</v>
      </c>
      <c r="F80" s="56" t="s">
        <v>180</v>
      </c>
      <c r="G80" s="23"/>
      <c r="H80" s="192" t="s">
        <v>451</v>
      </c>
      <c r="I80" s="132">
        <v>4.0999999999999996</v>
      </c>
      <c r="J80" s="44">
        <v>17697</v>
      </c>
      <c r="K80" s="24">
        <v>1.75</v>
      </c>
      <c r="L80" s="44">
        <f t="shared" si="1"/>
        <v>126975.97499999999</v>
      </c>
      <c r="M80" s="25">
        <f t="shared" si="2"/>
        <v>4</v>
      </c>
      <c r="N80" s="56">
        <v>4</v>
      </c>
      <c r="O80" s="44">
        <f t="shared" si="3"/>
        <v>31743.993749999998</v>
      </c>
      <c r="P80" s="69"/>
      <c r="Q80" s="44"/>
      <c r="R80" s="25"/>
      <c r="S80" s="44">
        <f t="shared" si="4"/>
        <v>31743.993749999998</v>
      </c>
      <c r="T80" s="44">
        <f t="shared" si="5"/>
        <v>3174.399375</v>
      </c>
      <c r="U80" s="44"/>
      <c r="V80" s="72"/>
      <c r="W80" s="44">
        <f t="shared" si="11"/>
        <v>0</v>
      </c>
      <c r="X80" s="72"/>
      <c r="Y80" s="33"/>
      <c r="Z80" s="44"/>
      <c r="AA80" s="48"/>
      <c r="AB80" s="44"/>
      <c r="AC80" s="44">
        <f t="shared" si="6"/>
        <v>9523.198124999999</v>
      </c>
      <c r="AD80" s="26">
        <v>3</v>
      </c>
      <c r="AE80" s="44">
        <f t="shared" si="13"/>
        <v>1327.2750000000001</v>
      </c>
      <c r="AF80" s="44"/>
      <c r="AG80" s="181"/>
      <c r="AH80" s="44"/>
      <c r="AI80" s="44"/>
      <c r="AJ80" s="44"/>
      <c r="AK80" s="44"/>
      <c r="AL80" s="44">
        <f t="shared" si="7"/>
        <v>45768.866249999992</v>
      </c>
      <c r="AM80" s="44">
        <f t="shared" si="8"/>
        <v>549.22639499999991</v>
      </c>
      <c r="AN80" s="204">
        <f t="shared" si="9"/>
        <v>4</v>
      </c>
    </row>
    <row r="81" spans="1:40" s="2" customFormat="1" ht="39" x14ac:dyDescent="0.2">
      <c r="A81" s="56">
        <v>61</v>
      </c>
      <c r="B81" s="60" t="s">
        <v>134</v>
      </c>
      <c r="C81" s="61" t="s">
        <v>148</v>
      </c>
      <c r="D81" s="23" t="s">
        <v>37</v>
      </c>
      <c r="E81" s="26">
        <f t="shared" si="10"/>
        <v>0.4375</v>
      </c>
      <c r="F81" s="56" t="s">
        <v>180</v>
      </c>
      <c r="G81" s="23"/>
      <c r="H81" s="192" t="s">
        <v>370</v>
      </c>
      <c r="I81" s="132">
        <v>4.0999999999999996</v>
      </c>
      <c r="J81" s="44">
        <v>17697</v>
      </c>
      <c r="K81" s="24">
        <v>1.75</v>
      </c>
      <c r="L81" s="44">
        <f t="shared" si="1"/>
        <v>126975.97499999999</v>
      </c>
      <c r="M81" s="25">
        <f t="shared" si="2"/>
        <v>7</v>
      </c>
      <c r="N81" s="56">
        <v>7</v>
      </c>
      <c r="O81" s="44">
        <f t="shared" si="3"/>
        <v>55551.989062499997</v>
      </c>
      <c r="P81" s="69"/>
      <c r="Q81" s="44"/>
      <c r="R81" s="25"/>
      <c r="S81" s="44">
        <f t="shared" si="4"/>
        <v>55551.989062499997</v>
      </c>
      <c r="T81" s="44">
        <f t="shared" si="5"/>
        <v>5555.1989062499997</v>
      </c>
      <c r="U81" s="44"/>
      <c r="V81" s="72"/>
      <c r="W81" s="44">
        <f t="shared" si="11"/>
        <v>0</v>
      </c>
      <c r="X81" s="72"/>
      <c r="Y81" s="33"/>
      <c r="Z81" s="44"/>
      <c r="AA81" s="48"/>
      <c r="AB81" s="44"/>
      <c r="AC81" s="44">
        <f t="shared" si="6"/>
        <v>16665.596718749999</v>
      </c>
      <c r="AD81" s="26">
        <v>7</v>
      </c>
      <c r="AE81" s="44">
        <f t="shared" si="13"/>
        <v>3096.9749999999999</v>
      </c>
      <c r="AF81" s="44"/>
      <c r="AG81" s="181"/>
      <c r="AH81" s="44"/>
      <c r="AI81" s="44"/>
      <c r="AJ81" s="44"/>
      <c r="AK81" s="44"/>
      <c r="AL81" s="44">
        <f t="shared" si="7"/>
        <v>80869.759687499987</v>
      </c>
      <c r="AM81" s="44">
        <f t="shared" si="8"/>
        <v>970.4371162499998</v>
      </c>
      <c r="AN81" s="204">
        <f t="shared" si="9"/>
        <v>7</v>
      </c>
    </row>
    <row r="82" spans="1:40" s="2" customFormat="1" ht="26" x14ac:dyDescent="0.2">
      <c r="A82" s="56">
        <v>62</v>
      </c>
      <c r="B82" s="61" t="s">
        <v>135</v>
      </c>
      <c r="C82" s="61" t="s">
        <v>171</v>
      </c>
      <c r="D82" s="23" t="s">
        <v>37</v>
      </c>
      <c r="E82" s="26">
        <f t="shared" si="10"/>
        <v>0.5</v>
      </c>
      <c r="F82" s="56" t="s">
        <v>180</v>
      </c>
      <c r="G82" s="23"/>
      <c r="H82" s="192" t="s">
        <v>370</v>
      </c>
      <c r="I82" s="132">
        <v>4.0999999999999996</v>
      </c>
      <c r="J82" s="44">
        <v>17697</v>
      </c>
      <c r="K82" s="24">
        <v>1.75</v>
      </c>
      <c r="L82" s="44">
        <f t="shared" si="1"/>
        <v>126975.97499999999</v>
      </c>
      <c r="M82" s="25">
        <f t="shared" si="2"/>
        <v>8</v>
      </c>
      <c r="N82" s="56">
        <v>8</v>
      </c>
      <c r="O82" s="44">
        <f t="shared" si="3"/>
        <v>63487.987499999996</v>
      </c>
      <c r="P82" s="69"/>
      <c r="Q82" s="44"/>
      <c r="R82" s="25"/>
      <c r="S82" s="44">
        <f t="shared" si="4"/>
        <v>63487.987499999996</v>
      </c>
      <c r="T82" s="44">
        <f t="shared" si="5"/>
        <v>6348.7987499999999</v>
      </c>
      <c r="U82" s="44"/>
      <c r="V82" s="72"/>
      <c r="W82" s="44">
        <f t="shared" si="11"/>
        <v>0</v>
      </c>
      <c r="X82" s="72"/>
      <c r="Y82" s="33"/>
      <c r="Z82" s="44"/>
      <c r="AA82" s="48">
        <f>3063*10</f>
        <v>30630</v>
      </c>
      <c r="AB82" s="44"/>
      <c r="AC82" s="44">
        <f t="shared" si="6"/>
        <v>19046.396249999998</v>
      </c>
      <c r="AD82" s="26">
        <v>8</v>
      </c>
      <c r="AE82" s="44">
        <f t="shared" si="13"/>
        <v>3539.4</v>
      </c>
      <c r="AF82" s="44"/>
      <c r="AG82" s="181"/>
      <c r="AH82" s="44"/>
      <c r="AI82" s="44"/>
      <c r="AJ82" s="44"/>
      <c r="AK82" s="44"/>
      <c r="AL82" s="44">
        <f t="shared" si="7"/>
        <v>123052.58249999999</v>
      </c>
      <c r="AM82" s="44">
        <f t="shared" si="8"/>
        <v>1476.6309899999997</v>
      </c>
      <c r="AN82" s="204">
        <f t="shared" si="9"/>
        <v>8</v>
      </c>
    </row>
    <row r="83" spans="1:40" s="2" customFormat="1" ht="39" x14ac:dyDescent="0.2">
      <c r="A83" s="56">
        <v>63</v>
      </c>
      <c r="B83" s="60" t="s">
        <v>136</v>
      </c>
      <c r="C83" s="61" t="s">
        <v>158</v>
      </c>
      <c r="D83" s="23" t="s">
        <v>37</v>
      </c>
      <c r="E83" s="26">
        <f t="shared" si="10"/>
        <v>0.5</v>
      </c>
      <c r="F83" s="56" t="s">
        <v>180</v>
      </c>
      <c r="G83" s="23"/>
      <c r="H83" s="192" t="s">
        <v>452</v>
      </c>
      <c r="I83" s="132">
        <v>4.33</v>
      </c>
      <c r="J83" s="44">
        <v>17697</v>
      </c>
      <c r="K83" s="24">
        <v>1.75</v>
      </c>
      <c r="L83" s="44">
        <f t="shared" si="1"/>
        <v>134099.01750000002</v>
      </c>
      <c r="M83" s="25">
        <f t="shared" si="2"/>
        <v>8</v>
      </c>
      <c r="N83" s="56">
        <v>8</v>
      </c>
      <c r="O83" s="44">
        <f t="shared" si="3"/>
        <v>67049.508750000008</v>
      </c>
      <c r="P83" s="69"/>
      <c r="Q83" s="44"/>
      <c r="R83" s="25"/>
      <c r="S83" s="44">
        <f t="shared" si="4"/>
        <v>67049.508750000008</v>
      </c>
      <c r="T83" s="44">
        <f t="shared" si="5"/>
        <v>6704.9508750000014</v>
      </c>
      <c r="U83" s="44"/>
      <c r="V83" s="72"/>
      <c r="W83" s="44">
        <f t="shared" si="11"/>
        <v>0</v>
      </c>
      <c r="X83" s="72"/>
      <c r="Y83" s="33"/>
      <c r="Z83" s="44"/>
      <c r="AA83" s="48"/>
      <c r="AB83" s="44"/>
      <c r="AC83" s="44">
        <f t="shared" si="6"/>
        <v>20114.852625000003</v>
      </c>
      <c r="AD83" s="26">
        <v>8</v>
      </c>
      <c r="AE83" s="44">
        <f t="shared" si="13"/>
        <v>3539.4</v>
      </c>
      <c r="AF83" s="44"/>
      <c r="AG83" s="181"/>
      <c r="AH83" s="44"/>
      <c r="AI83" s="44"/>
      <c r="AJ83" s="44"/>
      <c r="AK83" s="44"/>
      <c r="AL83" s="44">
        <f t="shared" si="7"/>
        <v>97408.712250000011</v>
      </c>
      <c r="AM83" s="44">
        <f t="shared" si="8"/>
        <v>1168.9045470000003</v>
      </c>
      <c r="AN83" s="204">
        <f t="shared" si="9"/>
        <v>8</v>
      </c>
    </row>
    <row r="84" spans="1:40" s="2" customFormat="1" ht="52" x14ac:dyDescent="0.2">
      <c r="A84" s="56">
        <v>64</v>
      </c>
      <c r="B84" s="61" t="s">
        <v>137</v>
      </c>
      <c r="C84" s="61" t="s">
        <v>172</v>
      </c>
      <c r="D84" s="23" t="s">
        <v>37</v>
      </c>
      <c r="E84" s="26">
        <f t="shared" si="10"/>
        <v>0.5</v>
      </c>
      <c r="F84" s="56" t="s">
        <v>176</v>
      </c>
      <c r="G84" s="23" t="s">
        <v>37</v>
      </c>
      <c r="H84" s="192" t="s">
        <v>379</v>
      </c>
      <c r="I84" s="132">
        <v>5.08</v>
      </c>
      <c r="J84" s="44">
        <v>17697</v>
      </c>
      <c r="K84" s="24">
        <v>1.75</v>
      </c>
      <c r="L84" s="44">
        <f t="shared" si="1"/>
        <v>157326.33000000002</v>
      </c>
      <c r="M84" s="25">
        <f t="shared" si="2"/>
        <v>8</v>
      </c>
      <c r="N84" s="56">
        <v>8</v>
      </c>
      <c r="O84" s="44">
        <f t="shared" si="3"/>
        <v>78663.165000000008</v>
      </c>
      <c r="P84" s="69"/>
      <c r="Q84" s="44"/>
      <c r="R84" s="25"/>
      <c r="S84" s="44">
        <f t="shared" si="4"/>
        <v>78663.165000000008</v>
      </c>
      <c r="T84" s="44">
        <f t="shared" si="5"/>
        <v>7866.3165000000008</v>
      </c>
      <c r="U84" s="44"/>
      <c r="V84" s="72"/>
      <c r="W84" s="44">
        <f t="shared" si="11"/>
        <v>0</v>
      </c>
      <c r="X84" s="72"/>
      <c r="Y84" s="33"/>
      <c r="Z84" s="44"/>
      <c r="AA84" s="48">
        <f>3063*10</f>
        <v>30630</v>
      </c>
      <c r="AB84" s="44">
        <f>SUM(J84*2)</f>
        <v>35394</v>
      </c>
      <c r="AC84" s="44">
        <f t="shared" si="6"/>
        <v>23598.949500000002</v>
      </c>
      <c r="AD84" s="26">
        <v>8</v>
      </c>
      <c r="AE84" s="44">
        <f t="shared" si="13"/>
        <v>3539.4</v>
      </c>
      <c r="AF84" s="44"/>
      <c r="AG84" s="181"/>
      <c r="AH84" s="44"/>
      <c r="AI84" s="181">
        <f>S84*40%</f>
        <v>31465.266000000003</v>
      </c>
      <c r="AJ84" s="44"/>
      <c r="AK84" s="44"/>
      <c r="AL84" s="44">
        <f t="shared" si="7"/>
        <v>211157.09700000004</v>
      </c>
      <c r="AM84" s="44">
        <f t="shared" si="8"/>
        <v>2533.8851640000003</v>
      </c>
      <c r="AN84" s="204">
        <f t="shared" si="9"/>
        <v>8</v>
      </c>
    </row>
    <row r="85" spans="1:40" s="2" customFormat="1" ht="39" x14ac:dyDescent="0.2">
      <c r="A85" s="56">
        <v>65</v>
      </c>
      <c r="B85" s="58" t="s">
        <v>138</v>
      </c>
      <c r="C85" s="61" t="s">
        <v>165</v>
      </c>
      <c r="D85" s="23" t="s">
        <v>37</v>
      </c>
      <c r="E85" s="26">
        <f t="shared" si="10"/>
        <v>1.125</v>
      </c>
      <c r="F85" s="56" t="s">
        <v>180</v>
      </c>
      <c r="G85" s="23"/>
      <c r="H85" s="192" t="s">
        <v>358</v>
      </c>
      <c r="I85" s="132">
        <v>4.0999999999999996</v>
      </c>
      <c r="J85" s="44">
        <v>17697</v>
      </c>
      <c r="K85" s="24">
        <v>1.75</v>
      </c>
      <c r="L85" s="44">
        <f t="shared" si="1"/>
        <v>126975.97499999999</v>
      </c>
      <c r="M85" s="25">
        <f t="shared" si="2"/>
        <v>18</v>
      </c>
      <c r="N85" s="56">
        <v>18</v>
      </c>
      <c r="O85" s="44">
        <f t="shared" si="3"/>
        <v>142847.97187499999</v>
      </c>
      <c r="P85" s="69"/>
      <c r="Q85" s="44"/>
      <c r="R85" s="25"/>
      <c r="S85" s="44">
        <f t="shared" si="4"/>
        <v>142847.97187499999</v>
      </c>
      <c r="T85" s="44">
        <f t="shared" si="5"/>
        <v>14284.7971875</v>
      </c>
      <c r="U85" s="44"/>
      <c r="V85" s="72"/>
      <c r="W85" s="44">
        <f t="shared" si="11"/>
        <v>0</v>
      </c>
      <c r="X85" s="72"/>
      <c r="Y85" s="33"/>
      <c r="Z85" s="44"/>
      <c r="AA85" s="48"/>
      <c r="AB85" s="44"/>
      <c r="AC85" s="44">
        <f t="shared" si="6"/>
        <v>42854.391562499994</v>
      </c>
      <c r="AD85" s="26"/>
      <c r="AE85" s="44"/>
      <c r="AF85" s="44"/>
      <c r="AG85" s="181"/>
      <c r="AH85" s="44"/>
      <c r="AI85" s="44"/>
      <c r="AJ85" s="44"/>
      <c r="AK85" s="44"/>
      <c r="AL85" s="44">
        <f t="shared" si="7"/>
        <v>199987.16062499999</v>
      </c>
      <c r="AM85" s="44">
        <f t="shared" si="8"/>
        <v>2399.8459274999996</v>
      </c>
      <c r="AN85" s="204">
        <f t="shared" si="9"/>
        <v>18</v>
      </c>
    </row>
    <row r="86" spans="1:40" s="2" customFormat="1" ht="39" x14ac:dyDescent="0.2">
      <c r="A86" s="56">
        <v>66</v>
      </c>
      <c r="B86" s="58" t="s">
        <v>139</v>
      </c>
      <c r="C86" s="61" t="s">
        <v>165</v>
      </c>
      <c r="D86" s="23" t="s">
        <v>37</v>
      </c>
      <c r="E86" s="26">
        <f t="shared" si="10"/>
        <v>1.125</v>
      </c>
      <c r="F86" s="56" t="s">
        <v>180</v>
      </c>
      <c r="G86" s="23"/>
      <c r="H86" s="192" t="s">
        <v>453</v>
      </c>
      <c r="I86" s="132">
        <v>4.0999999999999996</v>
      </c>
      <c r="J86" s="44">
        <v>17697</v>
      </c>
      <c r="K86" s="24">
        <v>1.75</v>
      </c>
      <c r="L86" s="44">
        <f>K86*J86*I86</f>
        <v>126975.97499999999</v>
      </c>
      <c r="M86" s="25">
        <f>N86+P86</f>
        <v>18</v>
      </c>
      <c r="N86" s="56">
        <v>18</v>
      </c>
      <c r="O86" s="44">
        <f>L86/16*N86</f>
        <v>142847.97187499999</v>
      </c>
      <c r="P86" s="69"/>
      <c r="Q86" s="44"/>
      <c r="R86" s="25"/>
      <c r="S86" s="44">
        <f>R86+Q86+O86</f>
        <v>142847.97187499999</v>
      </c>
      <c r="T86" s="44">
        <f>S86*10%</f>
        <v>14284.7971875</v>
      </c>
      <c r="U86" s="44"/>
      <c r="V86" s="72"/>
      <c r="W86" s="44">
        <f t="shared" si="11"/>
        <v>0</v>
      </c>
      <c r="X86" s="72"/>
      <c r="Y86" s="33"/>
      <c r="Z86" s="44"/>
      <c r="AA86" s="48"/>
      <c r="AB86" s="44"/>
      <c r="AC86" s="44">
        <f>S86*30%</f>
        <v>42854.391562499994</v>
      </c>
      <c r="AD86" s="26"/>
      <c r="AE86" s="44"/>
      <c r="AF86" s="44"/>
      <c r="AG86" s="181"/>
      <c r="AH86" s="44"/>
      <c r="AI86" s="44"/>
      <c r="AJ86" s="44"/>
      <c r="AK86" s="44"/>
      <c r="AL86" s="44">
        <f>AJ86+AI86+AH86+AG86+AF86+AE86+AC86+AB86+AA86+Z86+W86+T86+S86+AK86</f>
        <v>199987.16062499999</v>
      </c>
      <c r="AM86" s="44">
        <f>AL86*12/1000</f>
        <v>2399.8459274999996</v>
      </c>
      <c r="AN86" s="204">
        <f>SUM(M86-X86)</f>
        <v>18</v>
      </c>
    </row>
    <row r="87" spans="1:40" s="2" customFormat="1" ht="39" x14ac:dyDescent="0.2">
      <c r="A87" s="57">
        <v>67</v>
      </c>
      <c r="B87" s="58" t="s">
        <v>140</v>
      </c>
      <c r="C87" s="61" t="s">
        <v>158</v>
      </c>
      <c r="D87" s="23" t="s">
        <v>37</v>
      </c>
      <c r="E87" s="26">
        <f>(N87/16)+(P87/16)</f>
        <v>1</v>
      </c>
      <c r="F87" s="56" t="s">
        <v>180</v>
      </c>
      <c r="G87" s="23"/>
      <c r="H87" s="192" t="s">
        <v>358</v>
      </c>
      <c r="I87" s="132">
        <v>4.0999999999999996</v>
      </c>
      <c r="J87" s="44">
        <v>17697</v>
      </c>
      <c r="K87" s="24">
        <v>1.75</v>
      </c>
      <c r="L87" s="44">
        <f>K87*J87*I87</f>
        <v>126975.97499999999</v>
      </c>
      <c r="M87" s="25">
        <f>N87+P87</f>
        <v>16</v>
      </c>
      <c r="N87" s="68">
        <v>4</v>
      </c>
      <c r="O87" s="44">
        <f>L87/16*N87</f>
        <v>31743.993749999998</v>
      </c>
      <c r="P87" s="70">
        <v>12</v>
      </c>
      <c r="Q87" s="44">
        <f>L87/16*P87</f>
        <v>95231.981249999997</v>
      </c>
      <c r="R87" s="25"/>
      <c r="S87" s="44">
        <f>R87+Q87+O87</f>
        <v>126975.97499999999</v>
      </c>
      <c r="T87" s="44">
        <f>S87*10%</f>
        <v>12697.5975</v>
      </c>
      <c r="U87" s="44"/>
      <c r="V87" s="72"/>
      <c r="W87" s="44">
        <f>(J87/16*V87*20%)</f>
        <v>0</v>
      </c>
      <c r="X87" s="72"/>
      <c r="Y87" s="33"/>
      <c r="Z87" s="44"/>
      <c r="AA87" s="48"/>
      <c r="AB87" s="44"/>
      <c r="AC87" s="44">
        <f>S87*30%</f>
        <v>38092.792499999996</v>
      </c>
      <c r="AD87" s="26">
        <v>16</v>
      </c>
      <c r="AE87" s="44">
        <f>J87/16*40%*AD87</f>
        <v>7078.8</v>
      </c>
      <c r="AF87" s="44"/>
      <c r="AG87" s="181"/>
      <c r="AH87" s="44"/>
      <c r="AI87" s="44"/>
      <c r="AJ87" s="44"/>
      <c r="AK87" s="44"/>
      <c r="AL87" s="44">
        <f>AJ87+AI87+AH87+AG87+AF87+AE87+AC87+AB87+AA87+Z87+W87+T87+S87+AK87</f>
        <v>184845.16499999998</v>
      </c>
      <c r="AM87" s="44">
        <f>AL87*12/1000</f>
        <v>2218.1419799999994</v>
      </c>
      <c r="AN87" s="204">
        <f>SUM(M87-X87)</f>
        <v>16</v>
      </c>
    </row>
    <row r="88" spans="1:40" s="2" customFormat="1" ht="39" x14ac:dyDescent="0.2">
      <c r="A88" s="57">
        <v>68</v>
      </c>
      <c r="B88" s="200" t="s">
        <v>141</v>
      </c>
      <c r="C88" s="201" t="s">
        <v>173</v>
      </c>
      <c r="D88" s="23" t="s">
        <v>37</v>
      </c>
      <c r="E88" s="26">
        <f>(N88/16)+(P88/16)</f>
        <v>1</v>
      </c>
      <c r="F88" s="202" t="s">
        <v>180</v>
      </c>
      <c r="G88" s="23"/>
      <c r="H88" s="203" t="s">
        <v>454</v>
      </c>
      <c r="I88" s="132">
        <v>4.33</v>
      </c>
      <c r="J88" s="44">
        <v>17697</v>
      </c>
      <c r="K88" s="24">
        <v>1.75</v>
      </c>
      <c r="L88" s="44">
        <f>K88*J88*I88</f>
        <v>134099.01750000002</v>
      </c>
      <c r="M88" s="25">
        <f>N88+P88</f>
        <v>16</v>
      </c>
      <c r="N88" s="68">
        <v>4</v>
      </c>
      <c r="O88" s="44">
        <f>L88/16*N88</f>
        <v>33524.754375000004</v>
      </c>
      <c r="P88" s="70">
        <v>12</v>
      </c>
      <c r="Q88" s="44">
        <f>L88/16*P88</f>
        <v>100574.26312500001</v>
      </c>
      <c r="R88" s="25"/>
      <c r="S88" s="44">
        <f>R88+Q88+O88</f>
        <v>134099.01750000002</v>
      </c>
      <c r="T88" s="44">
        <f>S88*10%</f>
        <v>13409.901750000003</v>
      </c>
      <c r="U88" s="44"/>
      <c r="V88" s="72"/>
      <c r="W88" s="44">
        <f>(J88/16*V88*20%)</f>
        <v>0</v>
      </c>
      <c r="X88" s="72">
        <v>16</v>
      </c>
      <c r="Y88" s="33">
        <v>0.5</v>
      </c>
      <c r="Z88" s="44">
        <f>J88/16*X88*Y88</f>
        <v>8848.5</v>
      </c>
      <c r="AA88" s="48"/>
      <c r="AB88" s="44"/>
      <c r="AC88" s="44">
        <f>S88*30%</f>
        <v>40229.705250000006</v>
      </c>
      <c r="AD88" s="26">
        <v>16</v>
      </c>
      <c r="AE88" s="44">
        <f>J88/16*40%*AD88</f>
        <v>7078.8</v>
      </c>
      <c r="AF88" s="44"/>
      <c r="AG88" s="181"/>
      <c r="AH88" s="44"/>
      <c r="AI88" s="44"/>
      <c r="AJ88" s="44"/>
      <c r="AK88" s="44"/>
      <c r="AL88" s="44">
        <f>AJ88+AI88+AH88+AG88+AF88+AE88+AC88+AB88+AA88+Z88+W88+T88+S88+AK88</f>
        <v>203665.92450000002</v>
      </c>
      <c r="AM88" s="44">
        <f>AL88*12/1000</f>
        <v>2443.9910940000004</v>
      </c>
      <c r="AN88" s="204">
        <f>SUM(M88-X88)</f>
        <v>0</v>
      </c>
    </row>
    <row r="89" spans="1:40" s="32" customFormat="1" ht="26.25" customHeight="1" x14ac:dyDescent="0.2">
      <c r="A89" s="30"/>
      <c r="B89" s="31" t="s">
        <v>71</v>
      </c>
      <c r="C89" s="31"/>
      <c r="D89" s="30"/>
      <c r="E89" s="177">
        <f>SUM(E21:E88)</f>
        <v>62.9375</v>
      </c>
      <c r="F89" s="30"/>
      <c r="G89" s="30"/>
      <c r="H89" s="183"/>
      <c r="I89" s="133"/>
      <c r="J89" s="30"/>
      <c r="K89" s="30"/>
      <c r="L89" s="30">
        <f t="shared" ref="L89:S89" si="16">SUM(L21:L88)</f>
        <v>10231786.005000001</v>
      </c>
      <c r="M89" s="30">
        <f t="shared" si="16"/>
        <v>1007</v>
      </c>
      <c r="N89" s="30">
        <f t="shared" si="16"/>
        <v>731</v>
      </c>
      <c r="O89" s="30">
        <f t="shared" si="16"/>
        <v>6889162.819218751</v>
      </c>
      <c r="P89" s="30">
        <f t="shared" si="16"/>
        <v>276</v>
      </c>
      <c r="Q89" s="30">
        <f t="shared" si="16"/>
        <v>2655230.2284375001</v>
      </c>
      <c r="R89" s="30">
        <f t="shared" si="16"/>
        <v>0</v>
      </c>
      <c r="S89" s="30">
        <f t="shared" si="16"/>
        <v>9544393.0476562511</v>
      </c>
      <c r="T89" s="30">
        <f>S89*10%</f>
        <v>954439.30476562516</v>
      </c>
      <c r="U89" s="44"/>
      <c r="V89" s="30">
        <f t="shared" ref="V89:AK89" si="17">SUM(V21:V88)</f>
        <v>0</v>
      </c>
      <c r="W89" s="30">
        <f t="shared" si="17"/>
        <v>0</v>
      </c>
      <c r="X89" s="30">
        <f t="shared" si="17"/>
        <v>395</v>
      </c>
      <c r="Y89" s="30">
        <f t="shared" si="17"/>
        <v>14.25</v>
      </c>
      <c r="Z89" s="30">
        <f t="shared" si="17"/>
        <v>214023.09375</v>
      </c>
      <c r="AA89" s="30">
        <f t="shared" si="17"/>
        <v>367560</v>
      </c>
      <c r="AB89" s="30">
        <f t="shared" si="17"/>
        <v>247758</v>
      </c>
      <c r="AC89" s="30">
        <f t="shared" si="17"/>
        <v>2863317.9142968766</v>
      </c>
      <c r="AD89" s="30">
        <f t="shared" si="17"/>
        <v>525</v>
      </c>
      <c r="AE89" s="30">
        <f t="shared" si="17"/>
        <v>232273.12499999988</v>
      </c>
      <c r="AF89" s="30">
        <f t="shared" si="17"/>
        <v>24775.800000000003</v>
      </c>
      <c r="AG89" s="30">
        <f t="shared" si="17"/>
        <v>349135.54101562494</v>
      </c>
      <c r="AH89" s="30">
        <f t="shared" si="17"/>
        <v>448738.12823437504</v>
      </c>
      <c r="AI89" s="30">
        <f t="shared" si="17"/>
        <v>1343940.0436875001</v>
      </c>
      <c r="AJ89" s="30">
        <f t="shared" si="17"/>
        <v>344228.77125000005</v>
      </c>
      <c r="AK89" s="30">
        <f t="shared" si="17"/>
        <v>81140.74500000001</v>
      </c>
      <c r="AL89" s="30">
        <f>SUM(AL21:AL88)</f>
        <v>17015723.514656246</v>
      </c>
      <c r="AM89" s="30">
        <f>SUM(AM21:AM88)</f>
        <v>204188.682175875</v>
      </c>
      <c r="AN89" s="176">
        <v>204804</v>
      </c>
    </row>
    <row r="90" spans="1:40" s="32" customFormat="1" ht="26.25" customHeight="1" x14ac:dyDescent="0.2">
      <c r="A90" s="159"/>
      <c r="B90" s="160"/>
      <c r="C90" s="160"/>
      <c r="D90" s="159"/>
      <c r="E90" s="159"/>
      <c r="F90" s="159"/>
      <c r="G90" s="159"/>
      <c r="H90" s="184"/>
      <c r="I90" s="161"/>
      <c r="J90" s="159"/>
      <c r="K90" s="159"/>
      <c r="L90" s="159"/>
      <c r="M90" s="159"/>
      <c r="N90" s="159"/>
      <c r="O90" s="159"/>
      <c r="P90" s="159"/>
      <c r="Q90" s="159"/>
      <c r="R90" s="159"/>
      <c r="S90" s="159"/>
      <c r="T90" s="45"/>
      <c r="U90" s="45"/>
      <c r="V90" s="159"/>
      <c r="W90" s="159"/>
      <c r="X90" s="159"/>
      <c r="Y90" s="159"/>
      <c r="Z90" s="159"/>
      <c r="AA90" s="159"/>
      <c r="AB90" s="159"/>
      <c r="AC90" s="159"/>
      <c r="AD90" s="159"/>
      <c r="AE90" s="159"/>
      <c r="AF90" s="159"/>
      <c r="AG90" s="159"/>
      <c r="AH90" s="159"/>
      <c r="AI90" s="159"/>
      <c r="AJ90" s="159"/>
      <c r="AK90" s="159"/>
      <c r="AL90" s="159"/>
      <c r="AM90" s="159"/>
    </row>
    <row r="91" spans="1:40" s="164" customFormat="1" ht="18" customHeight="1" x14ac:dyDescent="0.25">
      <c r="A91" s="163"/>
      <c r="B91" s="162" t="s">
        <v>10</v>
      </c>
      <c r="D91" s="162"/>
      <c r="H91" s="193"/>
      <c r="I91" s="165"/>
      <c r="J91" s="164" t="s">
        <v>336</v>
      </c>
      <c r="K91" s="163"/>
      <c r="L91" s="166"/>
      <c r="M91" s="167"/>
      <c r="N91" s="167"/>
      <c r="O91" s="166"/>
      <c r="P91" s="167"/>
      <c r="Q91" s="166"/>
      <c r="R91" s="167"/>
      <c r="S91" s="166"/>
      <c r="T91" s="167"/>
      <c r="U91" s="167"/>
      <c r="V91" s="167"/>
      <c r="W91" s="166"/>
      <c r="X91" s="167"/>
      <c r="Y91" s="168"/>
      <c r="Z91" s="166"/>
      <c r="AA91" s="166"/>
      <c r="AB91" s="166"/>
      <c r="AC91" s="167"/>
      <c r="AD91" s="167"/>
      <c r="AE91" s="167"/>
      <c r="AF91" s="167"/>
      <c r="AG91" s="167"/>
      <c r="AH91" s="167"/>
      <c r="AI91" s="167"/>
      <c r="AJ91" s="167"/>
      <c r="AK91" s="167"/>
      <c r="AL91" s="169"/>
      <c r="AM91" s="170"/>
    </row>
    <row r="92" spans="1:40" s="164" customFormat="1" ht="18" customHeight="1" x14ac:dyDescent="0.25">
      <c r="A92" s="163"/>
      <c r="B92" s="162"/>
      <c r="D92" s="162"/>
      <c r="H92" s="194"/>
      <c r="I92" s="165"/>
      <c r="J92" s="164" t="s">
        <v>337</v>
      </c>
      <c r="K92" s="163"/>
      <c r="L92" s="170"/>
      <c r="M92" s="172"/>
      <c r="N92" s="172"/>
      <c r="O92" s="166"/>
      <c r="P92" s="172"/>
      <c r="Q92" s="166"/>
      <c r="R92" s="172"/>
      <c r="S92" s="166"/>
      <c r="T92" s="172"/>
      <c r="U92" s="172"/>
      <c r="V92" s="172"/>
      <c r="W92" s="166"/>
      <c r="X92" s="172"/>
      <c r="Y92" s="168"/>
      <c r="Z92" s="170"/>
      <c r="AA92" s="170"/>
      <c r="AB92" s="170"/>
      <c r="AF92" s="173"/>
      <c r="AG92" s="173"/>
      <c r="AH92" s="173"/>
      <c r="AI92" s="173"/>
      <c r="AJ92" s="173"/>
      <c r="AK92" s="173"/>
      <c r="AL92" s="170"/>
      <c r="AM92" s="170"/>
    </row>
    <row r="93" spans="1:40" s="164" customFormat="1" ht="18" customHeight="1" x14ac:dyDescent="0.25">
      <c r="B93" s="162"/>
      <c r="D93" s="162"/>
      <c r="H93" s="195"/>
      <c r="I93" s="165"/>
      <c r="J93" s="164" t="s">
        <v>338</v>
      </c>
      <c r="K93" s="163"/>
      <c r="L93" s="170"/>
      <c r="M93" s="174"/>
      <c r="O93" s="170"/>
      <c r="Q93" s="170"/>
      <c r="S93" s="170"/>
      <c r="W93" s="170"/>
      <c r="Y93" s="175"/>
      <c r="Z93" s="170"/>
      <c r="AA93" s="170"/>
      <c r="AB93" s="170"/>
      <c r="AL93" s="170"/>
      <c r="AM93" s="170"/>
    </row>
    <row r="94" spans="1:40" s="164" customFormat="1" ht="18" customHeight="1" x14ac:dyDescent="0.25">
      <c r="B94" s="162"/>
      <c r="D94" s="162"/>
      <c r="H94" s="195"/>
      <c r="I94" s="165"/>
      <c r="J94" s="164" t="s">
        <v>339</v>
      </c>
      <c r="K94" s="163"/>
      <c r="L94" s="170"/>
      <c r="M94" s="173"/>
      <c r="O94" s="170"/>
      <c r="P94" s="171"/>
      <c r="Q94" s="170"/>
      <c r="S94" s="170"/>
      <c r="W94" s="170"/>
      <c r="Y94" s="175"/>
      <c r="Z94" s="170"/>
      <c r="AA94" s="170"/>
      <c r="AB94" s="170"/>
      <c r="AL94" s="170"/>
      <c r="AM94" s="170"/>
    </row>
    <row r="95" spans="1:40" s="164" customFormat="1" ht="18" customHeight="1" x14ac:dyDescent="0.25">
      <c r="B95" s="162"/>
      <c r="D95" s="162"/>
      <c r="H95" s="195"/>
      <c r="I95" s="165"/>
      <c r="J95" s="164" t="s">
        <v>340</v>
      </c>
      <c r="K95" s="163"/>
      <c r="L95" s="170"/>
      <c r="M95" s="173"/>
      <c r="O95" s="170"/>
      <c r="P95" s="171"/>
      <c r="Q95" s="170"/>
      <c r="S95" s="170"/>
      <c r="W95" s="170"/>
      <c r="Y95" s="175"/>
      <c r="Z95" s="170"/>
      <c r="AA95" s="170"/>
      <c r="AB95" s="170"/>
      <c r="AL95" s="170"/>
      <c r="AM95" s="170"/>
    </row>
    <row r="96" spans="1:40" s="2" customFormat="1" ht="15.5" x14ac:dyDescent="0.35">
      <c r="A96" s="3"/>
      <c r="B96" s="5"/>
      <c r="C96" s="5"/>
      <c r="D96" s="5"/>
      <c r="E96" s="5"/>
      <c r="F96" s="5"/>
      <c r="G96" s="5"/>
      <c r="H96" s="196"/>
      <c r="I96" s="134"/>
      <c r="J96" s="19"/>
      <c r="K96" s="29"/>
      <c r="L96" s="19"/>
      <c r="M96" s="5"/>
      <c r="N96" s="5"/>
      <c r="O96" s="19"/>
      <c r="P96" s="5"/>
      <c r="Q96" s="19"/>
      <c r="R96" s="5"/>
      <c r="S96" s="19"/>
      <c r="T96" s="5"/>
      <c r="U96" s="5"/>
      <c r="V96" s="3"/>
      <c r="W96" s="18"/>
      <c r="X96" s="3"/>
      <c r="Y96" s="36"/>
      <c r="Z96" s="18"/>
      <c r="AA96" s="18"/>
      <c r="AB96" s="18"/>
      <c r="AC96" s="3"/>
      <c r="AD96" s="3"/>
      <c r="AE96" s="3"/>
      <c r="AF96" s="3"/>
      <c r="AG96" s="3"/>
      <c r="AH96" s="3"/>
      <c r="AI96" s="3"/>
      <c r="AJ96" s="3"/>
      <c r="AK96" s="3"/>
      <c r="AL96" s="18"/>
      <c r="AM96" s="42"/>
    </row>
    <row r="97" spans="1:39" s="2" customFormat="1" ht="15.5" x14ac:dyDescent="0.35">
      <c r="A97" s="3"/>
      <c r="B97" s="5"/>
      <c r="C97" s="5"/>
      <c r="D97" s="5"/>
      <c r="E97" s="5"/>
      <c r="F97" s="5"/>
      <c r="G97" s="5"/>
      <c r="H97" s="196"/>
      <c r="I97" s="134"/>
      <c r="J97" s="19"/>
      <c r="K97" s="29"/>
      <c r="L97" s="19"/>
      <c r="M97" s="5"/>
      <c r="N97" s="5"/>
      <c r="O97" s="19"/>
      <c r="P97" s="6"/>
      <c r="Q97" s="19"/>
      <c r="R97" s="5"/>
      <c r="S97" s="19"/>
      <c r="T97" s="5"/>
      <c r="U97" s="5"/>
      <c r="V97" s="3"/>
      <c r="W97" s="18"/>
      <c r="X97" s="3"/>
      <c r="Y97" s="36"/>
      <c r="Z97" s="18"/>
      <c r="AA97" s="18"/>
      <c r="AB97" s="18"/>
      <c r="AC97" s="3"/>
      <c r="AD97" s="3"/>
      <c r="AE97" s="3"/>
      <c r="AF97" s="3"/>
      <c r="AG97" s="3"/>
      <c r="AH97" s="3"/>
      <c r="AI97" s="3"/>
      <c r="AJ97" s="3"/>
      <c r="AK97" s="3"/>
      <c r="AL97" s="18"/>
      <c r="AM97" s="42"/>
    </row>
    <row r="98" spans="1:39" s="2" customFormat="1" ht="28.5" customHeight="1" x14ac:dyDescent="0.35">
      <c r="A98" s="3"/>
      <c r="B98" s="5"/>
      <c r="C98" s="5"/>
      <c r="D98" s="5"/>
      <c r="E98" s="5"/>
      <c r="F98" s="5"/>
      <c r="G98" s="5"/>
      <c r="H98" s="196"/>
      <c r="I98" s="134"/>
      <c r="J98" s="19"/>
      <c r="K98" s="29"/>
      <c r="L98" s="19"/>
      <c r="M98" s="7"/>
      <c r="N98" s="5"/>
      <c r="O98" s="19"/>
      <c r="P98" s="6"/>
      <c r="Q98" s="19"/>
      <c r="R98" s="5"/>
      <c r="S98" s="19"/>
      <c r="T98" s="5"/>
      <c r="U98" s="5"/>
      <c r="V98" s="3"/>
      <c r="W98" s="18"/>
      <c r="X98" s="3"/>
      <c r="Y98" s="36"/>
      <c r="Z98" s="18"/>
      <c r="AA98" s="18"/>
      <c r="AB98" s="18"/>
      <c r="AC98" s="3"/>
      <c r="AD98" s="3"/>
      <c r="AE98" s="3"/>
      <c r="AF98" s="3"/>
      <c r="AG98" s="3"/>
      <c r="AH98" s="3"/>
      <c r="AI98" s="3"/>
      <c r="AJ98" s="3"/>
      <c r="AK98" s="3"/>
      <c r="AL98" s="18"/>
      <c r="AM98" s="42"/>
    </row>
    <row r="99" spans="1:39" s="2" customFormat="1" ht="15.5" x14ac:dyDescent="0.35">
      <c r="A99" s="1"/>
      <c r="B99" s="5"/>
      <c r="C99" s="5"/>
      <c r="D99" s="5"/>
      <c r="E99" s="5"/>
      <c r="F99" s="5"/>
      <c r="G99" s="5"/>
      <c r="H99" s="196"/>
      <c r="I99" s="134"/>
      <c r="J99" s="19"/>
      <c r="K99" s="29"/>
      <c r="L99" s="19"/>
      <c r="M99" s="8"/>
      <c r="N99" s="5"/>
      <c r="O99" s="19"/>
      <c r="P99" s="6"/>
      <c r="Q99" s="19"/>
      <c r="R99" s="5"/>
      <c r="S99" s="19"/>
      <c r="T99" s="5"/>
      <c r="U99" s="5"/>
      <c r="V99" s="3"/>
      <c r="W99" s="18"/>
      <c r="X99" s="3"/>
      <c r="Y99" s="36"/>
      <c r="Z99" s="18"/>
      <c r="AA99" s="18"/>
      <c r="AB99" s="18"/>
      <c r="AC99" s="3"/>
      <c r="AD99" s="3"/>
      <c r="AE99" s="3"/>
      <c r="AF99" s="3"/>
      <c r="AG99" s="3"/>
      <c r="AH99" s="3"/>
      <c r="AI99" s="3"/>
      <c r="AJ99" s="3"/>
      <c r="AK99" s="3"/>
      <c r="AL99" s="18"/>
      <c r="AM99" s="42"/>
    </row>
    <row r="100" spans="1:39" s="2" customFormat="1" ht="15.5" x14ac:dyDescent="0.35">
      <c r="A100" s="9"/>
      <c r="B100" s="5"/>
      <c r="C100" s="5"/>
      <c r="D100" s="5"/>
      <c r="E100" s="5"/>
      <c r="F100" s="5"/>
      <c r="G100" s="5"/>
      <c r="H100" s="197"/>
      <c r="I100" s="134"/>
      <c r="J100" s="19"/>
      <c r="K100" s="29"/>
      <c r="L100" s="19"/>
      <c r="M100" s="8"/>
      <c r="N100" s="5"/>
      <c r="O100" s="19"/>
      <c r="P100" s="5"/>
      <c r="Q100" s="19"/>
      <c r="R100" s="5"/>
      <c r="S100" s="19"/>
      <c r="T100" s="5"/>
      <c r="U100" s="5"/>
      <c r="W100" s="42"/>
      <c r="Y100" s="35"/>
      <c r="Z100" s="42"/>
      <c r="AA100" s="42"/>
      <c r="AB100" s="42"/>
      <c r="AL100" s="42"/>
      <c r="AM100" s="42"/>
    </row>
    <row r="101" spans="1:39" s="2" customFormat="1" x14ac:dyDescent="0.3">
      <c r="A101" s="9"/>
      <c r="H101" s="197"/>
      <c r="I101" s="135"/>
      <c r="J101" s="42"/>
      <c r="K101" s="28"/>
      <c r="L101" s="42"/>
      <c r="M101" s="10"/>
      <c r="O101" s="42"/>
      <c r="Q101" s="42"/>
      <c r="S101" s="42"/>
      <c r="W101" s="42"/>
      <c r="Y101" s="35"/>
      <c r="Z101" s="42"/>
      <c r="AA101" s="42"/>
      <c r="AB101" s="42"/>
      <c r="AL101" s="42"/>
      <c r="AM101" s="42"/>
    </row>
    <row r="102" spans="1:39" s="2" customFormat="1" x14ac:dyDescent="0.3">
      <c r="A102" s="9"/>
      <c r="H102" s="197"/>
      <c r="I102" s="135"/>
      <c r="J102" s="42"/>
      <c r="K102" s="28"/>
      <c r="L102" s="42"/>
      <c r="M102" s="11"/>
      <c r="O102" s="42"/>
      <c r="Q102" s="42"/>
      <c r="S102" s="42"/>
      <c r="W102" s="42"/>
      <c r="Y102" s="35"/>
      <c r="Z102" s="42"/>
      <c r="AA102" s="42"/>
      <c r="AB102" s="42"/>
      <c r="AL102" s="42"/>
      <c r="AM102" s="42"/>
    </row>
    <row r="103" spans="1:39" s="2" customFormat="1" x14ac:dyDescent="0.3">
      <c r="H103" s="196"/>
      <c r="I103" s="135"/>
      <c r="J103" s="42"/>
      <c r="K103" s="28"/>
      <c r="L103" s="42"/>
      <c r="O103" s="42"/>
      <c r="Q103" s="42"/>
      <c r="S103" s="42"/>
      <c r="W103" s="42"/>
      <c r="Y103" s="35"/>
      <c r="Z103" s="42"/>
      <c r="AA103" s="42"/>
      <c r="AB103" s="42"/>
      <c r="AL103" s="42"/>
      <c r="AM103" s="42"/>
    </row>
  </sheetData>
  <sheetProtection password="C7B7" sheet="1"/>
  <autoFilter ref="A20:AO89" xr:uid="{00000000-0009-0000-0000-000002000000}"/>
  <mergeCells count="31">
    <mergeCell ref="C6:F6"/>
    <mergeCell ref="B7:E7"/>
    <mergeCell ref="H19:H20"/>
    <mergeCell ref="I19:I20"/>
    <mergeCell ref="J19:J20"/>
    <mergeCell ref="A16:AM16"/>
    <mergeCell ref="AM19:AM20"/>
    <mergeCell ref="E19:E20"/>
    <mergeCell ref="AG19:AJ19"/>
    <mergeCell ref="AF19:AF20"/>
    <mergeCell ref="C19:C20"/>
    <mergeCell ref="AL19:AL20"/>
    <mergeCell ref="AA19:AA20"/>
    <mergeCell ref="T19:T20"/>
    <mergeCell ref="AD19:AD20"/>
    <mergeCell ref="K19:K20"/>
    <mergeCell ref="B19:B20"/>
    <mergeCell ref="A19:A20"/>
    <mergeCell ref="D19:D20"/>
    <mergeCell ref="N19:Q19"/>
    <mergeCell ref="F19:F20"/>
    <mergeCell ref="M19:M20"/>
    <mergeCell ref="G19:G20"/>
    <mergeCell ref="AD18:AL18"/>
    <mergeCell ref="V19:Z19"/>
    <mergeCell ref="L19:L20"/>
    <mergeCell ref="S19:S20"/>
    <mergeCell ref="AC19:AC20"/>
    <mergeCell ref="AE19:AE20"/>
    <mergeCell ref="R19:R20"/>
    <mergeCell ref="AB19:AB20"/>
  </mergeCells>
  <pageMargins left="0" right="0" top="0.39370078740157483" bottom="0.39370078740157483" header="0.31496062992125984" footer="0.31496062992125984"/>
  <pageSetup paperSize="9" scale="43"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2"/>
  <sheetViews>
    <sheetView tabSelected="1" topLeftCell="A7" zoomScale="90" zoomScaleNormal="90" zoomScaleSheetLayoutView="100" workbookViewId="0">
      <pane xSplit="11" ySplit="6" topLeftCell="L13" activePane="bottomRight" state="frozen"/>
      <selection activeCell="A7" sqref="A7"/>
      <selection pane="topRight" activeCell="L7" sqref="L7"/>
      <selection pane="bottomLeft" activeCell="A13" sqref="A13"/>
      <selection pane="bottomRight" activeCell="C13" sqref="C13"/>
    </sheetView>
  </sheetViews>
  <sheetFormatPr defaultColWidth="6.1796875" defaultRowHeight="13" x14ac:dyDescent="0.3"/>
  <cols>
    <col min="1" max="1" width="3.453125" style="101" customWidth="1"/>
    <col min="2" max="2" width="17.26953125" style="101" customWidth="1"/>
    <col min="3" max="3" width="17" style="149" customWidth="1"/>
    <col min="4" max="4" width="7.1796875" style="111" customWidth="1"/>
    <col min="5" max="5" width="6.1796875" style="101" customWidth="1"/>
    <col min="6" max="6" width="6.7265625" style="101" customWidth="1"/>
    <col min="7" max="7" width="7.81640625" style="239" customWidth="1"/>
    <col min="8" max="8" width="6.1796875" style="112" customWidth="1"/>
    <col min="9" max="9" width="7.1796875" style="102" customWidth="1"/>
    <col min="10" max="10" width="6.1796875" style="101" customWidth="1"/>
    <col min="11" max="11" width="11.453125" style="102" customWidth="1"/>
    <col min="12" max="14" width="8.81640625" style="102" customWidth="1"/>
    <col min="15" max="15" width="10.54296875" style="102" customWidth="1"/>
    <col min="16" max="16" width="10.26953125" style="102" customWidth="1"/>
    <col min="17" max="17" width="6.1796875" style="102" hidden="1" customWidth="1"/>
    <col min="18" max="19" width="9" style="102" customWidth="1"/>
    <col min="20" max="20" width="7.81640625" style="102" customWidth="1"/>
    <col min="21" max="21" width="8.1796875" style="102" customWidth="1"/>
    <col min="22" max="23" width="7.26953125" style="102" customWidth="1"/>
    <col min="24" max="24" width="9.1796875" style="102" customWidth="1"/>
    <col min="25" max="25" width="8.26953125" style="102" customWidth="1"/>
    <col min="26" max="26" width="6.1796875" style="102" customWidth="1"/>
    <col min="27" max="27" width="8.81640625" style="102" customWidth="1"/>
    <col min="28" max="28" width="11.26953125" style="102" customWidth="1"/>
    <col min="29" max="29" width="8.453125" style="102" customWidth="1"/>
    <col min="30" max="30" width="6.1796875" style="101"/>
    <col min="31" max="31" width="7.26953125" style="101" bestFit="1" customWidth="1"/>
    <col min="32" max="16384" width="6.1796875" style="101"/>
  </cols>
  <sheetData>
    <row r="1" spans="1:29" ht="14.25" customHeight="1" x14ac:dyDescent="0.3">
      <c r="B1" s="83" t="s">
        <v>600</v>
      </c>
      <c r="C1" s="101"/>
      <c r="E1" s="100"/>
      <c r="F1" s="102"/>
      <c r="I1" s="101"/>
      <c r="V1" s="440" t="s">
        <v>753</v>
      </c>
      <c r="W1" s="440"/>
      <c r="X1" s="440"/>
      <c r="Y1" s="440"/>
      <c r="Z1" s="440"/>
      <c r="AA1" s="440"/>
      <c r="AB1" s="440"/>
      <c r="AC1" s="370"/>
    </row>
    <row r="2" spans="1:29" ht="14.25" customHeight="1" x14ac:dyDescent="0.3">
      <c r="B2" s="82" t="s">
        <v>745</v>
      </c>
      <c r="C2" s="101"/>
      <c r="E2" s="100"/>
      <c r="F2" s="102"/>
      <c r="I2" s="101"/>
      <c r="V2" s="440"/>
      <c r="W2" s="440"/>
      <c r="X2" s="440"/>
      <c r="Y2" s="440"/>
      <c r="Z2" s="440"/>
      <c r="AA2" s="440"/>
      <c r="AB2" s="440"/>
      <c r="AC2" s="370"/>
    </row>
    <row r="3" spans="1:29" ht="14.25" customHeight="1" x14ac:dyDescent="0.3">
      <c r="B3" s="82" t="s">
        <v>758</v>
      </c>
      <c r="C3" s="101"/>
      <c r="E3" s="100"/>
      <c r="F3" s="102"/>
      <c r="I3" s="101"/>
      <c r="V3" s="440"/>
      <c r="W3" s="440"/>
      <c r="X3" s="440"/>
      <c r="Y3" s="440"/>
      <c r="Z3" s="440"/>
      <c r="AA3" s="440"/>
      <c r="AB3" s="440"/>
      <c r="AC3" s="370"/>
    </row>
    <row r="4" spans="1:29" ht="14.25" customHeight="1" x14ac:dyDescent="0.3">
      <c r="B4" s="83" t="s">
        <v>757</v>
      </c>
      <c r="C4" s="101"/>
      <c r="E4" s="100"/>
      <c r="F4" s="102"/>
      <c r="I4" s="101"/>
      <c r="V4" s="440"/>
      <c r="W4" s="440"/>
      <c r="X4" s="440"/>
      <c r="Y4" s="440"/>
      <c r="Z4" s="440"/>
      <c r="AA4" s="440"/>
      <c r="AB4" s="440"/>
      <c r="AC4" s="370"/>
    </row>
    <row r="5" spans="1:29" ht="14.25" customHeight="1" x14ac:dyDescent="0.3">
      <c r="B5" s="83"/>
      <c r="C5" s="101"/>
      <c r="E5" s="100"/>
      <c r="F5" s="102"/>
      <c r="I5" s="101"/>
      <c r="V5" s="440"/>
      <c r="W5" s="440"/>
      <c r="X5" s="440"/>
      <c r="Y5" s="440"/>
      <c r="Z5" s="440"/>
      <c r="AA5" s="440"/>
      <c r="AB5" s="440"/>
      <c r="AC5" s="370"/>
    </row>
    <row r="6" spans="1:29" ht="14.25" customHeight="1" x14ac:dyDescent="0.3">
      <c r="C6" s="101"/>
      <c r="E6" s="100"/>
      <c r="F6" s="102"/>
      <c r="I6" s="101"/>
      <c r="V6" s="440"/>
      <c r="W6" s="440"/>
      <c r="X6" s="440"/>
      <c r="Y6" s="440"/>
      <c r="Z6" s="440"/>
      <c r="AA6" s="440"/>
      <c r="AB6" s="440"/>
      <c r="AC6" s="370"/>
    </row>
    <row r="7" spans="1:29" ht="15.75" customHeight="1" x14ac:dyDescent="0.3">
      <c r="B7" s="148"/>
      <c r="C7" s="101"/>
      <c r="E7" s="100"/>
      <c r="F7" s="102"/>
      <c r="I7" s="101"/>
      <c r="V7" s="308"/>
      <c r="W7" s="308"/>
      <c r="X7" s="308"/>
      <c r="Y7" s="308"/>
      <c r="Z7" s="308"/>
      <c r="AA7" s="308"/>
      <c r="AB7" s="308"/>
      <c r="AC7" s="308"/>
    </row>
    <row r="8" spans="1:29" s="3" customFormat="1" ht="15.75" customHeight="1" x14ac:dyDescent="0.3">
      <c r="A8" s="441" t="s">
        <v>765</v>
      </c>
      <c r="B8" s="441"/>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row>
    <row r="9" spans="1:29" s="3" customFormat="1" ht="14" x14ac:dyDescent="0.3">
      <c r="A9" s="441" t="s">
        <v>759</v>
      </c>
      <c r="B9" s="441"/>
      <c r="C9" s="441"/>
      <c r="D9" s="441"/>
      <c r="E9" s="441"/>
      <c r="F9" s="441"/>
      <c r="G9" s="441"/>
      <c r="H9" s="441"/>
      <c r="I9" s="441"/>
      <c r="J9" s="441"/>
      <c r="K9" s="441"/>
      <c r="L9" s="441"/>
      <c r="M9" s="441"/>
      <c r="N9" s="441"/>
      <c r="O9" s="441"/>
      <c r="P9" s="441"/>
      <c r="Q9" s="441"/>
      <c r="R9" s="441"/>
      <c r="S9" s="441"/>
      <c r="T9" s="441"/>
      <c r="U9" s="441"/>
      <c r="V9" s="441"/>
      <c r="W9" s="441"/>
      <c r="X9" s="441"/>
      <c r="Y9" s="441"/>
      <c r="Z9" s="441"/>
      <c r="AA9" s="441"/>
      <c r="AB9" s="441"/>
      <c r="AC9" s="441"/>
    </row>
    <row r="10" spans="1:29" s="152" customFormat="1" ht="28.5" customHeight="1" x14ac:dyDescent="0.25">
      <c r="A10" s="404" t="s">
        <v>22</v>
      </c>
      <c r="B10" s="404" t="s">
        <v>0</v>
      </c>
      <c r="C10" s="404" t="s">
        <v>23</v>
      </c>
      <c r="D10" s="442" t="s">
        <v>756</v>
      </c>
      <c r="E10" s="404" t="s">
        <v>601</v>
      </c>
      <c r="F10" s="404" t="s">
        <v>602</v>
      </c>
      <c r="G10" s="404" t="s">
        <v>603</v>
      </c>
      <c r="H10" s="411" t="s">
        <v>604</v>
      </c>
      <c r="I10" s="413" t="s">
        <v>53</v>
      </c>
      <c r="J10" s="404" t="s">
        <v>605</v>
      </c>
      <c r="K10" s="406" t="s">
        <v>606</v>
      </c>
      <c r="L10" s="406" t="s">
        <v>52</v>
      </c>
      <c r="M10" s="406" t="s">
        <v>42</v>
      </c>
      <c r="N10" s="406" t="s">
        <v>755</v>
      </c>
      <c r="O10" s="406" t="s">
        <v>42</v>
      </c>
      <c r="P10" s="408" t="s">
        <v>44</v>
      </c>
      <c r="Q10" s="409"/>
      <c r="R10" s="409"/>
      <c r="S10" s="409"/>
      <c r="T10" s="409"/>
      <c r="U10" s="409"/>
      <c r="V10" s="409"/>
      <c r="W10" s="410" t="s">
        <v>44</v>
      </c>
      <c r="X10" s="410"/>
      <c r="Y10" s="410"/>
      <c r="Z10" s="410"/>
      <c r="AA10" s="410"/>
      <c r="AB10" s="406" t="s">
        <v>66</v>
      </c>
      <c r="AC10" s="406" t="s">
        <v>67</v>
      </c>
    </row>
    <row r="11" spans="1:29" s="152" customFormat="1" ht="96" customHeight="1" x14ac:dyDescent="0.25">
      <c r="A11" s="405"/>
      <c r="B11" s="405"/>
      <c r="C11" s="405"/>
      <c r="D11" s="443"/>
      <c r="E11" s="405"/>
      <c r="F11" s="405"/>
      <c r="G11" s="405"/>
      <c r="H11" s="412"/>
      <c r="I11" s="414"/>
      <c r="J11" s="405"/>
      <c r="K11" s="407"/>
      <c r="L11" s="407"/>
      <c r="M11" s="407"/>
      <c r="N11" s="445"/>
      <c r="O11" s="407"/>
      <c r="P11" s="39">
        <v>0.1</v>
      </c>
      <c r="Q11" s="39" t="s">
        <v>73</v>
      </c>
      <c r="R11" s="55" t="s">
        <v>48</v>
      </c>
      <c r="S11" s="55" t="s">
        <v>750</v>
      </c>
      <c r="T11" s="55" t="s">
        <v>55</v>
      </c>
      <c r="U11" s="55" t="s">
        <v>54</v>
      </c>
      <c r="V11" s="55" t="s">
        <v>50</v>
      </c>
      <c r="W11" s="137" t="s">
        <v>45</v>
      </c>
      <c r="X11" s="137" t="s">
        <v>46</v>
      </c>
      <c r="Y11" s="137" t="s">
        <v>49</v>
      </c>
      <c r="Z11" s="137" t="s">
        <v>47</v>
      </c>
      <c r="AA11" s="137" t="s">
        <v>68</v>
      </c>
      <c r="AB11" s="407"/>
      <c r="AC11" s="407"/>
    </row>
    <row r="12" spans="1:29" s="147" customFormat="1" x14ac:dyDescent="0.25">
      <c r="A12" s="77">
        <v>1</v>
      </c>
      <c r="B12" s="77">
        <v>2</v>
      </c>
      <c r="C12" s="77">
        <v>3</v>
      </c>
      <c r="D12" s="77">
        <v>4</v>
      </c>
      <c r="E12" s="77">
        <v>5</v>
      </c>
      <c r="F12" s="77">
        <v>6</v>
      </c>
      <c r="G12" s="77">
        <v>7</v>
      </c>
      <c r="H12" s="77">
        <v>8</v>
      </c>
      <c r="I12" s="77">
        <v>9</v>
      </c>
      <c r="J12" s="77">
        <v>10</v>
      </c>
      <c r="K12" s="77">
        <v>11</v>
      </c>
      <c r="L12" s="77">
        <v>12</v>
      </c>
      <c r="M12" s="77">
        <v>13</v>
      </c>
      <c r="N12" s="77">
        <v>14</v>
      </c>
      <c r="O12" s="77">
        <v>15</v>
      </c>
      <c r="P12" s="77">
        <v>16</v>
      </c>
      <c r="Q12" s="77">
        <v>17</v>
      </c>
      <c r="R12" s="77">
        <v>18</v>
      </c>
      <c r="S12" s="77">
        <v>19</v>
      </c>
      <c r="T12" s="77">
        <v>20</v>
      </c>
      <c r="U12" s="77">
        <v>21</v>
      </c>
      <c r="V12" s="77">
        <v>22</v>
      </c>
      <c r="W12" s="77">
        <v>23</v>
      </c>
      <c r="X12" s="77">
        <v>24</v>
      </c>
      <c r="Y12" s="77">
        <v>25</v>
      </c>
      <c r="Z12" s="77">
        <v>26</v>
      </c>
      <c r="AA12" s="77">
        <v>27</v>
      </c>
      <c r="AB12" s="77">
        <v>28</v>
      </c>
      <c r="AC12" s="77">
        <v>29</v>
      </c>
    </row>
    <row r="13" spans="1:29" s="239" customFormat="1" ht="16.5" customHeight="1" x14ac:dyDescent="0.3">
      <c r="A13" s="242">
        <v>1</v>
      </c>
      <c r="B13" s="350" t="s">
        <v>5</v>
      </c>
      <c r="C13" s="350" t="s">
        <v>638</v>
      </c>
      <c r="D13" s="350" t="s">
        <v>37</v>
      </c>
      <c r="E13" s="241">
        <v>1</v>
      </c>
      <c r="F13" s="241" t="s">
        <v>611</v>
      </c>
      <c r="G13" s="394">
        <v>24.01</v>
      </c>
      <c r="H13" s="352">
        <v>6.05</v>
      </c>
      <c r="I13" s="242">
        <v>17697</v>
      </c>
      <c r="J13" s="242">
        <v>2</v>
      </c>
      <c r="K13" s="243">
        <f t="shared" ref="K13:K49" si="0">H13*I13*J13*E13</f>
        <v>214133.69999999998</v>
      </c>
      <c r="L13" s="243">
        <f t="shared" ref="L13:L26" si="1">K13/4</f>
        <v>53533.424999999996</v>
      </c>
      <c r="M13" s="243">
        <f>SUM(K13:L13)</f>
        <v>267667.125</v>
      </c>
      <c r="N13" s="243"/>
      <c r="O13" s="243">
        <f t="shared" ref="O13:O49" si="2">K13+L13</f>
        <v>267667.125</v>
      </c>
      <c r="P13" s="243">
        <f t="shared" ref="P13:P49" si="3">O13*0.1</f>
        <v>26766.712500000001</v>
      </c>
      <c r="Q13" s="242"/>
      <c r="R13" s="242"/>
      <c r="S13" s="242"/>
      <c r="T13" s="242"/>
      <c r="U13" s="242"/>
      <c r="V13" s="242"/>
      <c r="W13" s="242"/>
      <c r="X13" s="242"/>
      <c r="Y13" s="242"/>
      <c r="Z13" s="242"/>
      <c r="AA13" s="242"/>
      <c r="AB13" s="243">
        <f t="shared" ref="AB13:AB57" si="4">O13+P13+R13+S13+T13+U13+V13+W13+X13+Y13+Z13+AA13</f>
        <v>294433.83750000002</v>
      </c>
      <c r="AC13" s="243">
        <f t="shared" ref="AC13:AC49" si="5">AB13*12/1000</f>
        <v>3533.2060500000002</v>
      </c>
    </row>
    <row r="14" spans="1:29" s="239" customFormat="1" x14ac:dyDescent="0.3">
      <c r="A14" s="77">
        <v>2</v>
      </c>
      <c r="B14" s="350" t="s">
        <v>667</v>
      </c>
      <c r="C14" s="350" t="s">
        <v>634</v>
      </c>
      <c r="D14" s="350" t="s">
        <v>37</v>
      </c>
      <c r="E14" s="241">
        <v>1</v>
      </c>
      <c r="F14" s="241" t="s">
        <v>612</v>
      </c>
      <c r="G14" s="394">
        <v>20.010000000000002</v>
      </c>
      <c r="H14" s="352">
        <v>5.74</v>
      </c>
      <c r="I14" s="242">
        <v>17697</v>
      </c>
      <c r="J14" s="242">
        <v>2</v>
      </c>
      <c r="K14" s="243">
        <f t="shared" si="0"/>
        <v>203161.56</v>
      </c>
      <c r="L14" s="243">
        <f t="shared" si="1"/>
        <v>50790.39</v>
      </c>
      <c r="M14" s="243">
        <f t="shared" ref="M14:M57" si="6">SUM(K14:L14)</f>
        <v>253951.95</v>
      </c>
      <c r="N14" s="243"/>
      <c r="O14" s="243">
        <f t="shared" si="2"/>
        <v>253951.95</v>
      </c>
      <c r="P14" s="243">
        <f t="shared" si="3"/>
        <v>25395.195000000003</v>
      </c>
      <c r="Q14" s="242"/>
      <c r="R14" s="242"/>
      <c r="S14" s="242"/>
      <c r="T14" s="242"/>
      <c r="U14" s="242"/>
      <c r="V14" s="242"/>
      <c r="W14" s="242"/>
      <c r="X14" s="242"/>
      <c r="Y14" s="242"/>
      <c r="Z14" s="242"/>
      <c r="AA14" s="243">
        <f>O14*30%</f>
        <v>76185.585000000006</v>
      </c>
      <c r="AB14" s="243">
        <f t="shared" si="4"/>
        <v>355532.73000000004</v>
      </c>
      <c r="AC14" s="243">
        <f t="shared" si="5"/>
        <v>4266.3927600000006</v>
      </c>
    </row>
    <row r="15" spans="1:29" s="239" customFormat="1" ht="16.5" customHeight="1" x14ac:dyDescent="0.3">
      <c r="A15" s="242">
        <v>3</v>
      </c>
      <c r="B15" s="350" t="s">
        <v>667</v>
      </c>
      <c r="C15" s="350" t="s">
        <v>640</v>
      </c>
      <c r="D15" s="350" t="s">
        <v>37</v>
      </c>
      <c r="E15" s="241">
        <v>1</v>
      </c>
      <c r="F15" s="241" t="s">
        <v>612</v>
      </c>
      <c r="G15" s="394">
        <v>35.01</v>
      </c>
      <c r="H15" s="352">
        <v>5.91</v>
      </c>
      <c r="I15" s="242">
        <v>17697</v>
      </c>
      <c r="J15" s="242">
        <v>2</v>
      </c>
      <c r="K15" s="243">
        <f t="shared" si="0"/>
        <v>209178.54</v>
      </c>
      <c r="L15" s="243">
        <f t="shared" si="1"/>
        <v>52294.635000000002</v>
      </c>
      <c r="M15" s="243">
        <f t="shared" si="6"/>
        <v>261473.17500000002</v>
      </c>
      <c r="N15" s="243"/>
      <c r="O15" s="243">
        <f t="shared" si="2"/>
        <v>261473.17500000002</v>
      </c>
      <c r="P15" s="243">
        <f t="shared" si="3"/>
        <v>26147.317500000005</v>
      </c>
      <c r="Q15" s="242"/>
      <c r="R15" s="242"/>
      <c r="S15" s="242"/>
      <c r="T15" s="242"/>
      <c r="U15" s="242"/>
      <c r="V15" s="242"/>
      <c r="W15" s="242"/>
      <c r="X15" s="242"/>
      <c r="Y15" s="242"/>
      <c r="Z15" s="242"/>
      <c r="AA15" s="243">
        <f>O15*50%</f>
        <v>130736.58750000001</v>
      </c>
      <c r="AB15" s="243">
        <f t="shared" si="4"/>
        <v>418357.08000000007</v>
      </c>
      <c r="AC15" s="243">
        <f t="shared" si="5"/>
        <v>5020.2849600000009</v>
      </c>
    </row>
    <row r="16" spans="1:29" s="239" customFormat="1" x14ac:dyDescent="0.3">
      <c r="A16" s="77">
        <v>4</v>
      </c>
      <c r="B16" s="350" t="s">
        <v>668</v>
      </c>
      <c r="C16" s="350" t="s">
        <v>635</v>
      </c>
      <c r="D16" s="350" t="s">
        <v>37</v>
      </c>
      <c r="E16" s="241">
        <v>1</v>
      </c>
      <c r="F16" s="241" t="s">
        <v>612</v>
      </c>
      <c r="G16" s="394">
        <v>28.01</v>
      </c>
      <c r="H16" s="352">
        <v>5.91</v>
      </c>
      <c r="I16" s="242">
        <v>17697</v>
      </c>
      <c r="J16" s="242">
        <v>2</v>
      </c>
      <c r="K16" s="243">
        <f t="shared" si="0"/>
        <v>209178.54</v>
      </c>
      <c r="L16" s="243">
        <f t="shared" si="1"/>
        <v>52294.635000000002</v>
      </c>
      <c r="M16" s="243">
        <f t="shared" si="6"/>
        <v>261473.17500000002</v>
      </c>
      <c r="N16" s="243"/>
      <c r="O16" s="243">
        <f t="shared" si="2"/>
        <v>261473.17500000002</v>
      </c>
      <c r="P16" s="243">
        <f t="shared" si="3"/>
        <v>26147.317500000005</v>
      </c>
      <c r="Q16" s="242"/>
      <c r="R16" s="242"/>
      <c r="S16" s="242"/>
      <c r="T16" s="242"/>
      <c r="U16" s="242"/>
      <c r="V16" s="242"/>
      <c r="W16" s="242"/>
      <c r="X16" s="242"/>
      <c r="Y16" s="242"/>
      <c r="Z16" s="242"/>
      <c r="AA16" s="366"/>
      <c r="AB16" s="243">
        <f t="shared" si="4"/>
        <v>287620.49250000005</v>
      </c>
      <c r="AC16" s="243">
        <f t="shared" si="5"/>
        <v>3451.4459100000008</v>
      </c>
    </row>
    <row r="17" spans="1:29" s="239" customFormat="1" ht="16.5" customHeight="1" x14ac:dyDescent="0.3">
      <c r="A17" s="242">
        <v>5</v>
      </c>
      <c r="B17" s="350" t="s">
        <v>668</v>
      </c>
      <c r="C17" s="351" t="s">
        <v>637</v>
      </c>
      <c r="D17" s="350" t="s">
        <v>37</v>
      </c>
      <c r="E17" s="241">
        <v>1</v>
      </c>
      <c r="F17" s="241" t="s">
        <v>612</v>
      </c>
      <c r="G17" s="394">
        <v>24.01</v>
      </c>
      <c r="H17" s="352">
        <v>5.74</v>
      </c>
      <c r="I17" s="242">
        <v>17697</v>
      </c>
      <c r="J17" s="242">
        <v>2</v>
      </c>
      <c r="K17" s="243">
        <f t="shared" si="0"/>
        <v>203161.56</v>
      </c>
      <c r="L17" s="243">
        <f t="shared" si="1"/>
        <v>50790.39</v>
      </c>
      <c r="M17" s="243">
        <f t="shared" si="6"/>
        <v>253951.95</v>
      </c>
      <c r="N17" s="243"/>
      <c r="O17" s="243">
        <f t="shared" si="2"/>
        <v>253951.95</v>
      </c>
      <c r="P17" s="243">
        <f t="shared" si="3"/>
        <v>25395.195000000003</v>
      </c>
      <c r="Q17" s="242"/>
      <c r="R17" s="242"/>
      <c r="S17" s="242"/>
      <c r="T17" s="242"/>
      <c r="U17" s="242"/>
      <c r="V17" s="242"/>
      <c r="W17" s="242"/>
      <c r="X17" s="242"/>
      <c r="Y17" s="242"/>
      <c r="Z17" s="242"/>
      <c r="AA17" s="242"/>
      <c r="AB17" s="243">
        <f t="shared" si="4"/>
        <v>279347.14500000002</v>
      </c>
      <c r="AC17" s="243">
        <f t="shared" si="5"/>
        <v>3352.1657400000004</v>
      </c>
    </row>
    <row r="18" spans="1:29" s="239" customFormat="1" x14ac:dyDescent="0.3">
      <c r="A18" s="77">
        <v>6</v>
      </c>
      <c r="B18" s="350" t="s">
        <v>669</v>
      </c>
      <c r="C18" s="351" t="s">
        <v>687</v>
      </c>
      <c r="D18" s="350" t="s">
        <v>37</v>
      </c>
      <c r="E18" s="241">
        <v>1</v>
      </c>
      <c r="F18" s="241" t="s">
        <v>597</v>
      </c>
      <c r="G18" s="394">
        <v>4.01</v>
      </c>
      <c r="H18" s="352">
        <v>3.71</v>
      </c>
      <c r="I18" s="242">
        <v>17697</v>
      </c>
      <c r="J18" s="242">
        <v>2</v>
      </c>
      <c r="K18" s="243">
        <f t="shared" si="0"/>
        <v>131311.74</v>
      </c>
      <c r="L18" s="243">
        <f t="shared" si="1"/>
        <v>32827.934999999998</v>
      </c>
      <c r="M18" s="243">
        <f t="shared" si="6"/>
        <v>164139.67499999999</v>
      </c>
      <c r="N18" s="243"/>
      <c r="O18" s="243">
        <f t="shared" si="2"/>
        <v>164139.67499999999</v>
      </c>
      <c r="P18" s="243">
        <f t="shared" si="3"/>
        <v>16413.967499999999</v>
      </c>
      <c r="Q18" s="242"/>
      <c r="R18" s="242"/>
      <c r="S18" s="242"/>
      <c r="T18" s="242"/>
      <c r="U18" s="242"/>
      <c r="V18" s="242"/>
      <c r="W18" s="242"/>
      <c r="X18" s="242"/>
      <c r="Y18" s="242"/>
      <c r="Z18" s="242"/>
      <c r="AA18" s="243"/>
      <c r="AB18" s="243">
        <f t="shared" si="4"/>
        <v>180553.64249999999</v>
      </c>
      <c r="AC18" s="243">
        <f t="shared" si="5"/>
        <v>2166.6437099999998</v>
      </c>
    </row>
    <row r="19" spans="1:29" s="239" customFormat="1" ht="14.25" customHeight="1" x14ac:dyDescent="0.3">
      <c r="A19" s="242">
        <v>7</v>
      </c>
      <c r="B19" s="350" t="s">
        <v>670</v>
      </c>
      <c r="C19" s="350" t="s">
        <v>636</v>
      </c>
      <c r="D19" s="350" t="s">
        <v>37</v>
      </c>
      <c r="E19" s="241">
        <v>1</v>
      </c>
      <c r="F19" s="241" t="s">
        <v>711</v>
      </c>
      <c r="G19" s="394">
        <v>33.049999999999997</v>
      </c>
      <c r="H19" s="352">
        <v>5.41</v>
      </c>
      <c r="I19" s="242">
        <v>17697</v>
      </c>
      <c r="J19" s="242">
        <v>2</v>
      </c>
      <c r="K19" s="243">
        <f t="shared" si="0"/>
        <v>191481.54</v>
      </c>
      <c r="L19" s="243">
        <f t="shared" si="1"/>
        <v>47870.385000000002</v>
      </c>
      <c r="M19" s="243">
        <f t="shared" si="6"/>
        <v>239351.92500000002</v>
      </c>
      <c r="N19" s="243"/>
      <c r="O19" s="243">
        <f t="shared" si="2"/>
        <v>239351.92500000002</v>
      </c>
      <c r="P19" s="243">
        <f t="shared" si="3"/>
        <v>23935.192500000005</v>
      </c>
      <c r="Q19" s="242"/>
      <c r="R19" s="242"/>
      <c r="S19" s="242"/>
      <c r="T19" s="242"/>
      <c r="U19" s="242"/>
      <c r="V19" s="242"/>
      <c r="W19" s="242"/>
      <c r="X19" s="242"/>
      <c r="Y19" s="242"/>
      <c r="Z19" s="242"/>
      <c r="AA19" s="242"/>
      <c r="AB19" s="243">
        <f t="shared" si="4"/>
        <v>263287.11750000005</v>
      </c>
      <c r="AC19" s="243">
        <f t="shared" si="5"/>
        <v>3159.4454100000007</v>
      </c>
    </row>
    <row r="20" spans="1:29" s="239" customFormat="1" x14ac:dyDescent="0.3">
      <c r="A20" s="103">
        <v>8</v>
      </c>
      <c r="B20" s="350" t="s">
        <v>197</v>
      </c>
      <c r="C20" s="350" t="s">
        <v>641</v>
      </c>
      <c r="D20" s="350" t="s">
        <v>37</v>
      </c>
      <c r="E20" s="241">
        <v>1</v>
      </c>
      <c r="F20" s="354" t="s">
        <v>644</v>
      </c>
      <c r="G20" s="355">
        <v>31.01</v>
      </c>
      <c r="H20" s="352">
        <v>5.16</v>
      </c>
      <c r="I20" s="365">
        <v>17697</v>
      </c>
      <c r="J20" s="365">
        <v>2</v>
      </c>
      <c r="K20" s="366">
        <f t="shared" si="0"/>
        <v>182633.04</v>
      </c>
      <c r="L20" s="366">
        <f t="shared" si="1"/>
        <v>45658.26</v>
      </c>
      <c r="M20" s="366">
        <f t="shared" si="6"/>
        <v>228291.30000000002</v>
      </c>
      <c r="N20" s="395"/>
      <c r="O20" s="366">
        <f t="shared" si="2"/>
        <v>228291.30000000002</v>
      </c>
      <c r="P20" s="366">
        <f t="shared" si="3"/>
        <v>22829.130000000005</v>
      </c>
      <c r="Q20" s="365"/>
      <c r="R20" s="365"/>
      <c r="S20" s="365"/>
      <c r="T20" s="365"/>
      <c r="U20" s="365"/>
      <c r="V20" s="365"/>
      <c r="W20" s="366">
        <f>O20*0.3</f>
        <v>68487.39</v>
      </c>
      <c r="X20" s="365"/>
      <c r="Y20" s="365"/>
      <c r="Z20" s="365"/>
      <c r="AA20" s="366"/>
      <c r="AB20" s="366">
        <f t="shared" si="4"/>
        <v>319607.82</v>
      </c>
      <c r="AC20" s="366">
        <f t="shared" si="5"/>
        <v>3835.2938399999998</v>
      </c>
    </row>
    <row r="21" spans="1:29" s="239" customFormat="1" x14ac:dyDescent="0.3">
      <c r="A21" s="242">
        <v>9</v>
      </c>
      <c r="B21" s="350" t="s">
        <v>197</v>
      </c>
      <c r="C21" s="350" t="s">
        <v>639</v>
      </c>
      <c r="D21" s="350" t="s">
        <v>37</v>
      </c>
      <c r="E21" s="241">
        <v>0.5</v>
      </c>
      <c r="F21" s="354" t="s">
        <v>644</v>
      </c>
      <c r="G21" s="355">
        <v>31.01</v>
      </c>
      <c r="H21" s="352">
        <v>5.16</v>
      </c>
      <c r="I21" s="242">
        <v>17697</v>
      </c>
      <c r="J21" s="242">
        <v>2</v>
      </c>
      <c r="K21" s="243">
        <f t="shared" si="0"/>
        <v>91316.52</v>
      </c>
      <c r="L21" s="243">
        <f t="shared" si="1"/>
        <v>22829.13</v>
      </c>
      <c r="M21" s="243">
        <f t="shared" si="6"/>
        <v>114145.65000000001</v>
      </c>
      <c r="N21" s="243"/>
      <c r="O21" s="243">
        <f t="shared" si="2"/>
        <v>114145.65000000001</v>
      </c>
      <c r="P21" s="243">
        <f t="shared" si="3"/>
        <v>11414.565000000002</v>
      </c>
      <c r="Q21" s="242"/>
      <c r="R21" s="242"/>
      <c r="S21" s="242"/>
      <c r="T21" s="242"/>
      <c r="U21" s="242"/>
      <c r="V21" s="242"/>
      <c r="W21" s="366">
        <f>O21*0.3</f>
        <v>34243.695</v>
      </c>
      <c r="X21" s="242"/>
      <c r="Y21" s="242"/>
      <c r="Z21" s="242"/>
      <c r="AA21" s="243"/>
      <c r="AB21" s="243">
        <f t="shared" si="4"/>
        <v>159803.91</v>
      </c>
      <c r="AC21" s="243">
        <f t="shared" si="5"/>
        <v>1917.6469199999999</v>
      </c>
    </row>
    <row r="22" spans="1:29" s="239" customFormat="1" x14ac:dyDescent="0.3">
      <c r="A22" s="77">
        <v>10</v>
      </c>
      <c r="B22" s="350" t="s">
        <v>718</v>
      </c>
      <c r="C22" s="350" t="s">
        <v>731</v>
      </c>
      <c r="D22" s="350" t="s">
        <v>37</v>
      </c>
      <c r="E22" s="241">
        <v>1</v>
      </c>
      <c r="F22" s="354" t="s">
        <v>597</v>
      </c>
      <c r="G22" s="355">
        <v>7.01</v>
      </c>
      <c r="H22" s="352">
        <v>3.85</v>
      </c>
      <c r="I22" s="242">
        <v>17697</v>
      </c>
      <c r="J22" s="242">
        <v>2</v>
      </c>
      <c r="K22" s="243">
        <f t="shared" ref="K22" si="7">H22*I22*J22*E22</f>
        <v>136266.9</v>
      </c>
      <c r="L22" s="243">
        <f t="shared" ref="L22" si="8">K22/4</f>
        <v>34066.724999999999</v>
      </c>
      <c r="M22" s="243">
        <f t="shared" si="6"/>
        <v>170333.625</v>
      </c>
      <c r="N22" s="243"/>
      <c r="O22" s="243">
        <f t="shared" ref="O22" si="9">K22+L22</f>
        <v>170333.625</v>
      </c>
      <c r="P22" s="243">
        <f t="shared" ref="P22" si="10">O22*0.1</f>
        <v>17033.362499999999</v>
      </c>
      <c r="Q22" s="365"/>
      <c r="R22" s="365"/>
      <c r="S22" s="365"/>
      <c r="T22" s="365"/>
      <c r="U22" s="365"/>
      <c r="V22" s="365"/>
      <c r="W22" s="365"/>
      <c r="X22" s="365"/>
      <c r="Y22" s="365"/>
      <c r="Z22" s="365"/>
      <c r="AA22" s="366"/>
      <c r="AB22" s="243">
        <f t="shared" si="4"/>
        <v>187366.98749999999</v>
      </c>
      <c r="AC22" s="243">
        <f t="shared" ref="AC22" si="11">AB22*12/1000</f>
        <v>2248.4038499999997</v>
      </c>
    </row>
    <row r="23" spans="1:29" s="239" customFormat="1" x14ac:dyDescent="0.3">
      <c r="A23" s="242">
        <v>11</v>
      </c>
      <c r="B23" s="350" t="s">
        <v>671</v>
      </c>
      <c r="C23" s="350" t="s">
        <v>762</v>
      </c>
      <c r="D23" s="350" t="s">
        <v>37</v>
      </c>
      <c r="E23" s="241">
        <v>1</v>
      </c>
      <c r="F23" s="354" t="s">
        <v>597</v>
      </c>
      <c r="G23" s="355">
        <v>1</v>
      </c>
      <c r="H23" s="352">
        <v>3.52</v>
      </c>
      <c r="I23" s="242">
        <v>17697</v>
      </c>
      <c r="J23" s="242">
        <v>2</v>
      </c>
      <c r="K23" s="243">
        <f t="shared" si="0"/>
        <v>124586.88</v>
      </c>
      <c r="L23" s="243">
        <f t="shared" si="1"/>
        <v>31146.720000000001</v>
      </c>
      <c r="M23" s="243">
        <f t="shared" si="6"/>
        <v>155733.6</v>
      </c>
      <c r="N23" s="243"/>
      <c r="O23" s="243">
        <f t="shared" si="2"/>
        <v>155733.6</v>
      </c>
      <c r="P23" s="243">
        <f t="shared" si="3"/>
        <v>15573.36</v>
      </c>
      <c r="Q23" s="242"/>
      <c r="R23" s="242"/>
      <c r="S23" s="242"/>
      <c r="T23" s="242"/>
      <c r="U23" s="242"/>
      <c r="V23" s="242"/>
      <c r="W23" s="242"/>
      <c r="X23" s="242"/>
      <c r="Y23" s="242"/>
      <c r="Z23" s="242"/>
      <c r="AA23" s="243"/>
      <c r="AB23" s="243">
        <f t="shared" si="4"/>
        <v>171306.96000000002</v>
      </c>
      <c r="AC23" s="243">
        <f t="shared" si="5"/>
        <v>2055.68352</v>
      </c>
    </row>
    <row r="24" spans="1:29" s="239" customFormat="1" x14ac:dyDescent="0.3">
      <c r="A24" s="77">
        <v>12</v>
      </c>
      <c r="B24" s="350" t="s">
        <v>672</v>
      </c>
      <c r="C24" s="350" t="s">
        <v>688</v>
      </c>
      <c r="D24" s="350" t="s">
        <v>37</v>
      </c>
      <c r="E24" s="241">
        <v>1</v>
      </c>
      <c r="F24" s="354" t="s">
        <v>712</v>
      </c>
      <c r="G24" s="355">
        <v>12.01</v>
      </c>
      <c r="H24" s="352">
        <v>4.21</v>
      </c>
      <c r="I24" s="242">
        <v>17697</v>
      </c>
      <c r="J24" s="242">
        <v>2</v>
      </c>
      <c r="K24" s="243">
        <f t="shared" si="0"/>
        <v>149008.74</v>
      </c>
      <c r="L24" s="243">
        <f t="shared" si="1"/>
        <v>37252.184999999998</v>
      </c>
      <c r="M24" s="243">
        <f t="shared" si="6"/>
        <v>186260.92499999999</v>
      </c>
      <c r="N24" s="243"/>
      <c r="O24" s="243">
        <f t="shared" si="2"/>
        <v>186260.92499999999</v>
      </c>
      <c r="P24" s="243">
        <f t="shared" si="3"/>
        <v>18626.092499999999</v>
      </c>
      <c r="Q24" s="242"/>
      <c r="R24" s="242"/>
      <c r="S24" s="242"/>
      <c r="T24" s="242"/>
      <c r="U24" s="242"/>
      <c r="V24" s="242"/>
      <c r="W24" s="242"/>
      <c r="X24" s="242"/>
      <c r="Y24" s="242"/>
      <c r="Z24" s="242"/>
      <c r="AA24" s="243"/>
      <c r="AB24" s="243">
        <f t="shared" si="4"/>
        <v>204887.01749999999</v>
      </c>
      <c r="AC24" s="243">
        <f t="shared" si="5"/>
        <v>2458.6442099999999</v>
      </c>
    </row>
    <row r="25" spans="1:29" s="239" customFormat="1" x14ac:dyDescent="0.3">
      <c r="A25" s="242">
        <v>13</v>
      </c>
      <c r="B25" s="350" t="s">
        <v>467</v>
      </c>
      <c r="C25" s="350" t="s">
        <v>732</v>
      </c>
      <c r="D25" s="350" t="s">
        <v>37</v>
      </c>
      <c r="E25" s="241">
        <v>1</v>
      </c>
      <c r="F25" s="354" t="s">
        <v>597</v>
      </c>
      <c r="G25" s="355">
        <v>13.01</v>
      </c>
      <c r="H25" s="352">
        <v>4</v>
      </c>
      <c r="I25" s="242">
        <v>17697</v>
      </c>
      <c r="J25" s="242">
        <v>2</v>
      </c>
      <c r="K25" s="243">
        <f t="shared" si="0"/>
        <v>141576</v>
      </c>
      <c r="L25" s="243">
        <f t="shared" si="1"/>
        <v>35394</v>
      </c>
      <c r="M25" s="243">
        <f t="shared" si="6"/>
        <v>176970</v>
      </c>
      <c r="N25" s="386">
        <v>1.3</v>
      </c>
      <c r="O25" s="243">
        <f>M25*N25</f>
        <v>230061</v>
      </c>
      <c r="P25" s="243">
        <f t="shared" si="3"/>
        <v>23006.100000000002</v>
      </c>
      <c r="Q25" s="242"/>
      <c r="R25" s="242"/>
      <c r="S25" s="242"/>
      <c r="T25" s="242"/>
      <c r="U25" s="242"/>
      <c r="V25" s="242"/>
      <c r="W25" s="242"/>
      <c r="X25" s="242"/>
      <c r="Y25" s="242"/>
      <c r="Z25" s="242"/>
      <c r="AA25" s="243"/>
      <c r="AB25" s="243">
        <f t="shared" si="4"/>
        <v>253067.1</v>
      </c>
      <c r="AC25" s="243">
        <f t="shared" si="5"/>
        <v>3036.8052000000002</v>
      </c>
    </row>
    <row r="26" spans="1:29" s="239" customFormat="1" x14ac:dyDescent="0.3">
      <c r="A26" s="77">
        <v>14</v>
      </c>
      <c r="B26" s="350" t="s">
        <v>467</v>
      </c>
      <c r="C26" s="351" t="s">
        <v>760</v>
      </c>
      <c r="D26" s="350" t="s">
        <v>37</v>
      </c>
      <c r="E26" s="241">
        <v>1</v>
      </c>
      <c r="F26" s="354" t="s">
        <v>597</v>
      </c>
      <c r="G26" s="355">
        <v>3.01</v>
      </c>
      <c r="H26" s="352">
        <v>3.71</v>
      </c>
      <c r="I26" s="242">
        <v>17697</v>
      </c>
      <c r="J26" s="242">
        <v>2</v>
      </c>
      <c r="K26" s="243">
        <f t="shared" si="0"/>
        <v>131311.74</v>
      </c>
      <c r="L26" s="243">
        <f t="shared" si="1"/>
        <v>32827.934999999998</v>
      </c>
      <c r="M26" s="243">
        <f t="shared" si="6"/>
        <v>164139.67499999999</v>
      </c>
      <c r="N26" s="386">
        <v>1.3</v>
      </c>
      <c r="O26" s="243">
        <f>M26*N26</f>
        <v>213381.57749999998</v>
      </c>
      <c r="P26" s="243">
        <f t="shared" si="3"/>
        <v>21338.157749999998</v>
      </c>
      <c r="Q26" s="242"/>
      <c r="R26" s="242"/>
      <c r="S26" s="242"/>
      <c r="T26" s="242"/>
      <c r="U26" s="242"/>
      <c r="V26" s="242"/>
      <c r="W26" s="242"/>
      <c r="X26" s="242"/>
      <c r="Y26" s="242"/>
      <c r="Z26" s="242"/>
      <c r="AA26" s="243"/>
      <c r="AB26" s="243">
        <f t="shared" si="4"/>
        <v>234719.73524999997</v>
      </c>
      <c r="AC26" s="243">
        <f t="shared" si="5"/>
        <v>2816.6368229999998</v>
      </c>
    </row>
    <row r="27" spans="1:29" s="239" customFormat="1" x14ac:dyDescent="0.3">
      <c r="A27" s="242">
        <v>15</v>
      </c>
      <c r="B27" s="350" t="s">
        <v>749</v>
      </c>
      <c r="C27" s="350" t="s">
        <v>734</v>
      </c>
      <c r="D27" s="350" t="s">
        <v>37</v>
      </c>
      <c r="E27" s="241">
        <v>1</v>
      </c>
      <c r="F27" s="354" t="s">
        <v>713</v>
      </c>
      <c r="G27" s="355">
        <v>1</v>
      </c>
      <c r="H27" s="352">
        <v>4.75</v>
      </c>
      <c r="I27" s="365">
        <v>17697</v>
      </c>
      <c r="J27" s="365">
        <v>1.71</v>
      </c>
      <c r="K27" s="366">
        <f t="shared" si="0"/>
        <v>143743.88250000001</v>
      </c>
      <c r="L27" s="366"/>
      <c r="M27" s="243">
        <f t="shared" si="6"/>
        <v>143743.88250000001</v>
      </c>
      <c r="N27" s="366"/>
      <c r="O27" s="366">
        <f t="shared" si="2"/>
        <v>143743.88250000001</v>
      </c>
      <c r="P27" s="366">
        <f t="shared" si="3"/>
        <v>14374.388250000002</v>
      </c>
      <c r="Q27" s="365"/>
      <c r="R27" s="365"/>
      <c r="S27" s="365"/>
      <c r="T27" s="365"/>
      <c r="U27" s="365"/>
      <c r="V27" s="365"/>
      <c r="W27" s="365"/>
      <c r="X27" s="365"/>
      <c r="Y27" s="365"/>
      <c r="Z27" s="365"/>
      <c r="AA27" s="366"/>
      <c r="AB27" s="243">
        <f t="shared" si="4"/>
        <v>158118.27075</v>
      </c>
      <c r="AC27" s="366">
        <f t="shared" si="5"/>
        <v>1897.4192489999998</v>
      </c>
    </row>
    <row r="28" spans="1:29" s="239" customFormat="1" x14ac:dyDescent="0.3">
      <c r="A28" s="77">
        <v>16</v>
      </c>
      <c r="B28" s="350" t="s">
        <v>673</v>
      </c>
      <c r="C28" s="350" t="s">
        <v>689</v>
      </c>
      <c r="D28" s="350" t="s">
        <v>37</v>
      </c>
      <c r="E28" s="241">
        <v>1</v>
      </c>
      <c r="F28" s="354" t="s">
        <v>720</v>
      </c>
      <c r="G28" s="355">
        <v>30.01</v>
      </c>
      <c r="H28" s="352">
        <v>5.31</v>
      </c>
      <c r="I28" s="242">
        <v>17697</v>
      </c>
      <c r="J28" s="365">
        <v>1.71</v>
      </c>
      <c r="K28" s="243">
        <f t="shared" si="0"/>
        <v>160690.52969999998</v>
      </c>
      <c r="L28" s="243">
        <f t="shared" ref="L28:L29" si="12">K28/4</f>
        <v>40172.632424999996</v>
      </c>
      <c r="M28" s="243">
        <f t="shared" si="6"/>
        <v>200863.16212499997</v>
      </c>
      <c r="N28" s="243"/>
      <c r="O28" s="243">
        <f t="shared" si="2"/>
        <v>200863.16212499997</v>
      </c>
      <c r="P28" s="243">
        <f t="shared" si="3"/>
        <v>20086.316212499998</v>
      </c>
      <c r="Q28" s="242"/>
      <c r="R28" s="242">
        <v>5309</v>
      </c>
      <c r="S28" s="242"/>
      <c r="T28" s="242"/>
      <c r="U28" s="242"/>
      <c r="V28" s="242"/>
      <c r="W28" s="242"/>
      <c r="X28" s="242"/>
      <c r="Y28" s="242"/>
      <c r="Z28" s="242"/>
      <c r="AA28" s="243"/>
      <c r="AB28" s="243">
        <f t="shared" si="4"/>
        <v>226258.47833749998</v>
      </c>
      <c r="AC28" s="243">
        <f t="shared" si="5"/>
        <v>2715.1017400499995</v>
      </c>
    </row>
    <row r="29" spans="1:29" s="239" customFormat="1" x14ac:dyDescent="0.3">
      <c r="A29" s="242">
        <v>17</v>
      </c>
      <c r="B29" s="350" t="s">
        <v>674</v>
      </c>
      <c r="C29" s="350" t="s">
        <v>690</v>
      </c>
      <c r="D29" s="350" t="s">
        <v>37</v>
      </c>
      <c r="E29" s="241">
        <v>1</v>
      </c>
      <c r="F29" s="354" t="s">
        <v>719</v>
      </c>
      <c r="G29" s="355">
        <v>4.01</v>
      </c>
      <c r="H29" s="352">
        <v>4.2300000000000004</v>
      </c>
      <c r="I29" s="365">
        <v>17697</v>
      </c>
      <c r="J29" s="365">
        <v>1.71</v>
      </c>
      <c r="K29" s="366">
        <f t="shared" si="0"/>
        <v>128007.71010000001</v>
      </c>
      <c r="L29" s="366">
        <f t="shared" si="12"/>
        <v>32001.927525000003</v>
      </c>
      <c r="M29" s="243">
        <f t="shared" si="6"/>
        <v>160009.637625</v>
      </c>
      <c r="N29" s="366"/>
      <c r="O29" s="366">
        <f t="shared" si="2"/>
        <v>160009.637625</v>
      </c>
      <c r="P29" s="366">
        <f t="shared" si="3"/>
        <v>16000.963762500001</v>
      </c>
      <c r="Q29" s="365"/>
      <c r="R29" s="365">
        <v>5309</v>
      </c>
      <c r="S29" s="365"/>
      <c r="T29" s="365"/>
      <c r="U29" s="365"/>
      <c r="V29" s="365"/>
      <c r="W29" s="365"/>
      <c r="X29" s="365"/>
      <c r="Y29" s="365"/>
      <c r="Z29" s="365"/>
      <c r="AA29" s="366"/>
      <c r="AB29" s="243">
        <f t="shared" si="4"/>
        <v>181319.60138750001</v>
      </c>
      <c r="AC29" s="366">
        <f t="shared" si="5"/>
        <v>2175.8352166499999</v>
      </c>
    </row>
    <row r="30" spans="1:29" s="239" customFormat="1" x14ac:dyDescent="0.3">
      <c r="A30" s="77">
        <v>18</v>
      </c>
      <c r="B30" s="350" t="s">
        <v>675</v>
      </c>
      <c r="C30" s="350" t="s">
        <v>691</v>
      </c>
      <c r="D30" s="350" t="s">
        <v>37</v>
      </c>
      <c r="E30" s="241">
        <v>1</v>
      </c>
      <c r="F30" s="354" t="s">
        <v>14</v>
      </c>
      <c r="G30" s="355">
        <v>12.01</v>
      </c>
      <c r="H30" s="352">
        <v>3.16</v>
      </c>
      <c r="I30" s="365">
        <v>17697</v>
      </c>
      <c r="J30" s="365">
        <v>1.71</v>
      </c>
      <c r="K30" s="366">
        <f t="shared" si="0"/>
        <v>95627.5092</v>
      </c>
      <c r="L30" s="366"/>
      <c r="M30" s="243">
        <f t="shared" si="6"/>
        <v>95627.5092</v>
      </c>
      <c r="N30" s="366"/>
      <c r="O30" s="366">
        <f t="shared" si="2"/>
        <v>95627.5092</v>
      </c>
      <c r="P30" s="366">
        <f t="shared" si="3"/>
        <v>9562.7509200000004</v>
      </c>
      <c r="Q30" s="365"/>
      <c r="R30" s="365"/>
      <c r="S30" s="365"/>
      <c r="T30" s="365"/>
      <c r="U30" s="365"/>
      <c r="V30" s="365"/>
      <c r="W30" s="365"/>
      <c r="X30" s="365"/>
      <c r="Y30" s="365"/>
      <c r="Z30" s="365"/>
      <c r="AA30" s="366"/>
      <c r="AB30" s="243">
        <f t="shared" si="4"/>
        <v>105190.26012000001</v>
      </c>
      <c r="AC30" s="366">
        <f t="shared" si="5"/>
        <v>1262.2831214400001</v>
      </c>
    </row>
    <row r="31" spans="1:29" s="239" customFormat="1" x14ac:dyDescent="0.3">
      <c r="A31" s="242">
        <v>19</v>
      </c>
      <c r="B31" s="350" t="s">
        <v>751</v>
      </c>
      <c r="C31" s="350" t="s">
        <v>740</v>
      </c>
      <c r="D31" s="350" t="s">
        <v>37</v>
      </c>
      <c r="E31" s="241">
        <v>1</v>
      </c>
      <c r="F31" s="354" t="s">
        <v>719</v>
      </c>
      <c r="G31" s="355">
        <v>5.01</v>
      </c>
      <c r="H31" s="352">
        <v>4.2699999999999996</v>
      </c>
      <c r="I31" s="365">
        <v>17697</v>
      </c>
      <c r="J31" s="365">
        <v>1.71</v>
      </c>
      <c r="K31" s="366">
        <f t="shared" si="0"/>
        <v>129218.18489999998</v>
      </c>
      <c r="L31" s="366"/>
      <c r="M31" s="243">
        <f t="shared" si="6"/>
        <v>129218.18489999998</v>
      </c>
      <c r="N31" s="366"/>
      <c r="O31" s="366">
        <f t="shared" si="2"/>
        <v>129218.18489999998</v>
      </c>
      <c r="P31" s="366">
        <f t="shared" si="3"/>
        <v>12921.818489999998</v>
      </c>
      <c r="Q31" s="365"/>
      <c r="R31" s="365"/>
      <c r="S31" s="365"/>
      <c r="T31" s="365"/>
      <c r="U31" s="365"/>
      <c r="V31" s="365"/>
      <c r="W31" s="365"/>
      <c r="X31" s="365"/>
      <c r="Y31" s="365"/>
      <c r="Z31" s="365"/>
      <c r="AA31" s="366"/>
      <c r="AB31" s="243">
        <f t="shared" si="4"/>
        <v>142140.00338999997</v>
      </c>
      <c r="AC31" s="366">
        <f t="shared" si="5"/>
        <v>1705.6800406799996</v>
      </c>
    </row>
    <row r="32" spans="1:29" s="239" customFormat="1" x14ac:dyDescent="0.3">
      <c r="A32" s="77">
        <v>20</v>
      </c>
      <c r="B32" s="350" t="s">
        <v>676</v>
      </c>
      <c r="C32" s="350" t="s">
        <v>692</v>
      </c>
      <c r="D32" s="350" t="s">
        <v>37</v>
      </c>
      <c r="E32" s="241">
        <v>0.5</v>
      </c>
      <c r="F32" s="354" t="s">
        <v>14</v>
      </c>
      <c r="G32" s="355">
        <v>3.01</v>
      </c>
      <c r="H32" s="352">
        <v>3.04</v>
      </c>
      <c r="I32" s="242">
        <v>17697</v>
      </c>
      <c r="J32" s="365">
        <v>1.71</v>
      </c>
      <c r="K32" s="243">
        <f t="shared" si="0"/>
        <v>45998.042399999998</v>
      </c>
      <c r="L32" s="243"/>
      <c r="M32" s="243">
        <f t="shared" si="6"/>
        <v>45998.042399999998</v>
      </c>
      <c r="N32" s="243"/>
      <c r="O32" s="243">
        <f t="shared" si="2"/>
        <v>45998.042399999998</v>
      </c>
      <c r="P32" s="243">
        <f t="shared" si="3"/>
        <v>4599.8042400000004</v>
      </c>
      <c r="Q32" s="242"/>
      <c r="R32" s="242"/>
      <c r="S32" s="242"/>
      <c r="T32" s="242"/>
      <c r="U32" s="242"/>
      <c r="V32" s="242"/>
      <c r="W32" s="242"/>
      <c r="X32" s="242"/>
      <c r="Y32" s="242"/>
      <c r="Z32" s="242"/>
      <c r="AA32" s="243"/>
      <c r="AB32" s="243">
        <f t="shared" si="4"/>
        <v>50597.846639999996</v>
      </c>
      <c r="AC32" s="243">
        <f t="shared" si="5"/>
        <v>607.17415967999989</v>
      </c>
    </row>
    <row r="33" spans="1:29" s="239" customFormat="1" x14ac:dyDescent="0.3">
      <c r="A33" s="242">
        <v>21</v>
      </c>
      <c r="B33" s="350" t="s">
        <v>677</v>
      </c>
      <c r="C33" s="350" t="s">
        <v>692</v>
      </c>
      <c r="D33" s="350" t="s">
        <v>37</v>
      </c>
      <c r="E33" s="241">
        <v>0.5</v>
      </c>
      <c r="F33" s="354" t="s">
        <v>14</v>
      </c>
      <c r="G33" s="355">
        <v>3.01</v>
      </c>
      <c r="H33" s="352">
        <v>3.04</v>
      </c>
      <c r="I33" s="242">
        <v>17697</v>
      </c>
      <c r="J33" s="365">
        <v>1.71</v>
      </c>
      <c r="K33" s="243">
        <f t="shared" si="0"/>
        <v>45998.042399999998</v>
      </c>
      <c r="L33" s="243"/>
      <c r="M33" s="243">
        <f t="shared" si="6"/>
        <v>45998.042399999998</v>
      </c>
      <c r="N33" s="243"/>
      <c r="O33" s="243">
        <f t="shared" si="2"/>
        <v>45998.042399999998</v>
      </c>
      <c r="P33" s="243">
        <f t="shared" si="3"/>
        <v>4599.8042400000004</v>
      </c>
      <c r="Q33" s="242"/>
      <c r="R33" s="242"/>
      <c r="S33" s="242"/>
      <c r="T33" s="242"/>
      <c r="U33" s="242"/>
      <c r="V33" s="242"/>
      <c r="W33" s="242"/>
      <c r="X33" s="242"/>
      <c r="Y33" s="242"/>
      <c r="Z33" s="242"/>
      <c r="AA33" s="243"/>
      <c r="AB33" s="243">
        <f t="shared" si="4"/>
        <v>50597.846639999996</v>
      </c>
      <c r="AC33" s="243">
        <f t="shared" si="5"/>
        <v>607.17415967999989</v>
      </c>
    </row>
    <row r="34" spans="1:29" s="239" customFormat="1" x14ac:dyDescent="0.3">
      <c r="A34" s="77">
        <v>22</v>
      </c>
      <c r="B34" s="350" t="s">
        <v>678</v>
      </c>
      <c r="C34" s="350" t="s">
        <v>693</v>
      </c>
      <c r="D34" s="350" t="s">
        <v>37</v>
      </c>
      <c r="E34" s="241">
        <v>1</v>
      </c>
      <c r="F34" s="354" t="s">
        <v>714</v>
      </c>
      <c r="G34" s="367">
        <v>15.01</v>
      </c>
      <c r="H34" s="353">
        <v>3.19</v>
      </c>
      <c r="I34" s="242">
        <v>17697</v>
      </c>
      <c r="J34" s="365">
        <v>1.71</v>
      </c>
      <c r="K34" s="243">
        <f t="shared" si="0"/>
        <v>96535.365300000005</v>
      </c>
      <c r="L34" s="243"/>
      <c r="M34" s="243">
        <f t="shared" si="6"/>
        <v>96535.365300000005</v>
      </c>
      <c r="N34" s="243"/>
      <c r="O34" s="243">
        <f t="shared" si="2"/>
        <v>96535.365300000005</v>
      </c>
      <c r="P34" s="243">
        <f t="shared" si="3"/>
        <v>9653.5365300000012</v>
      </c>
      <c r="Q34" s="242"/>
      <c r="R34" s="242"/>
      <c r="S34" s="242"/>
      <c r="T34" s="242"/>
      <c r="U34" s="242"/>
      <c r="V34" s="242"/>
      <c r="W34" s="242"/>
      <c r="X34" s="242"/>
      <c r="Y34" s="242"/>
      <c r="Z34" s="242"/>
      <c r="AA34" s="243"/>
      <c r="AB34" s="243">
        <f t="shared" si="4"/>
        <v>106188.90183</v>
      </c>
      <c r="AC34" s="243">
        <f t="shared" si="5"/>
        <v>1274.26682196</v>
      </c>
    </row>
    <row r="35" spans="1:29" s="239" customFormat="1" x14ac:dyDescent="0.3">
      <c r="A35" s="242">
        <v>23</v>
      </c>
      <c r="B35" s="350" t="s">
        <v>752</v>
      </c>
      <c r="C35" s="350" t="s">
        <v>761</v>
      </c>
      <c r="D35" s="350" t="s">
        <v>37</v>
      </c>
      <c r="E35" s="241">
        <v>1</v>
      </c>
      <c r="F35" s="354" t="s">
        <v>14</v>
      </c>
      <c r="G35" s="367">
        <v>0</v>
      </c>
      <c r="H35" s="352">
        <v>3.04</v>
      </c>
      <c r="I35" s="242">
        <v>17697</v>
      </c>
      <c r="J35" s="365">
        <v>1.71</v>
      </c>
      <c r="K35" s="243">
        <f t="shared" ref="K35" si="13">H35*I35*J35*E35</f>
        <v>91996.084799999997</v>
      </c>
      <c r="L35" s="243"/>
      <c r="M35" s="243">
        <f t="shared" ref="M35" si="14">SUM(K35:L35)</f>
        <v>91996.084799999997</v>
      </c>
      <c r="N35" s="243"/>
      <c r="O35" s="243">
        <f t="shared" ref="O35" si="15">K35+L35</f>
        <v>91996.084799999997</v>
      </c>
      <c r="P35" s="243">
        <f t="shared" ref="P35" si="16">O35*0.1</f>
        <v>9199.6084800000008</v>
      </c>
      <c r="Q35" s="242"/>
      <c r="R35" s="242"/>
      <c r="S35" s="242"/>
      <c r="T35" s="242"/>
      <c r="U35" s="242"/>
      <c r="V35" s="242"/>
      <c r="W35" s="242"/>
      <c r="X35" s="242"/>
      <c r="Y35" s="242"/>
      <c r="Z35" s="242"/>
      <c r="AA35" s="243"/>
      <c r="AB35" s="243">
        <f t="shared" ref="AB35" si="17">O35+P35+R35+S35+T35+U35+V35+W35+X35+Y35+Z35+AA35</f>
        <v>101195.69327999999</v>
      </c>
      <c r="AC35" s="243">
        <f t="shared" ref="AC35" si="18">AB35*12/1000</f>
        <v>1214.3483193599998</v>
      </c>
    </row>
    <row r="36" spans="1:29" s="239" customFormat="1" x14ac:dyDescent="0.3">
      <c r="A36" s="77">
        <v>24</v>
      </c>
      <c r="B36" s="350" t="s">
        <v>311</v>
      </c>
      <c r="C36" s="350" t="s">
        <v>694</v>
      </c>
      <c r="D36" s="350" t="s">
        <v>349</v>
      </c>
      <c r="E36" s="241">
        <v>1</v>
      </c>
      <c r="F36" s="354" t="s">
        <v>715</v>
      </c>
      <c r="G36" s="355">
        <v>5</v>
      </c>
      <c r="H36" s="352">
        <v>2.81</v>
      </c>
      <c r="I36" s="242">
        <v>17697</v>
      </c>
      <c r="J36" s="365">
        <v>1.71</v>
      </c>
      <c r="K36" s="243">
        <f t="shared" si="0"/>
        <v>85035.854699999996</v>
      </c>
      <c r="L36" s="243"/>
      <c r="M36" s="243">
        <f t="shared" si="6"/>
        <v>85035.854699999996</v>
      </c>
      <c r="N36" s="243"/>
      <c r="O36" s="243">
        <f t="shared" si="2"/>
        <v>85035.854699999996</v>
      </c>
      <c r="P36" s="243">
        <f t="shared" si="3"/>
        <v>8503.58547</v>
      </c>
      <c r="Q36" s="242"/>
      <c r="R36" s="242"/>
      <c r="S36" s="242"/>
      <c r="T36" s="242"/>
      <c r="U36" s="242"/>
      <c r="V36" s="242"/>
      <c r="W36" s="242"/>
      <c r="X36" s="242"/>
      <c r="Y36" s="242"/>
      <c r="Z36" s="242"/>
      <c r="AA36" s="243"/>
      <c r="AB36" s="243">
        <f t="shared" si="4"/>
        <v>93539.440170000002</v>
      </c>
      <c r="AC36" s="243">
        <f t="shared" si="5"/>
        <v>1122.47328204</v>
      </c>
    </row>
    <row r="37" spans="1:29" s="239" customFormat="1" x14ac:dyDescent="0.3">
      <c r="A37" s="242">
        <v>25</v>
      </c>
      <c r="B37" s="350" t="s">
        <v>311</v>
      </c>
      <c r="C37" s="350" t="s">
        <v>695</v>
      </c>
      <c r="D37" s="350" t="s">
        <v>349</v>
      </c>
      <c r="E37" s="241">
        <v>1</v>
      </c>
      <c r="F37" s="354" t="s">
        <v>715</v>
      </c>
      <c r="G37" s="355">
        <v>11</v>
      </c>
      <c r="H37" s="352">
        <v>2.81</v>
      </c>
      <c r="I37" s="242">
        <v>17697</v>
      </c>
      <c r="J37" s="365">
        <v>1.71</v>
      </c>
      <c r="K37" s="243">
        <f t="shared" si="0"/>
        <v>85035.854699999996</v>
      </c>
      <c r="L37" s="243"/>
      <c r="M37" s="243">
        <f t="shared" si="6"/>
        <v>85035.854699999996</v>
      </c>
      <c r="N37" s="243"/>
      <c r="O37" s="243">
        <f t="shared" si="2"/>
        <v>85035.854699999996</v>
      </c>
      <c r="P37" s="243">
        <f t="shared" si="3"/>
        <v>8503.58547</v>
      </c>
      <c r="Q37" s="242"/>
      <c r="R37" s="242"/>
      <c r="S37" s="242"/>
      <c r="T37" s="242"/>
      <c r="U37" s="242"/>
      <c r="V37" s="242"/>
      <c r="W37" s="242"/>
      <c r="X37" s="242"/>
      <c r="Y37" s="242"/>
      <c r="Z37" s="242"/>
      <c r="AA37" s="243"/>
      <c r="AB37" s="243">
        <f t="shared" si="4"/>
        <v>93539.440170000002</v>
      </c>
      <c r="AC37" s="243">
        <f t="shared" si="5"/>
        <v>1122.47328204</v>
      </c>
    </row>
    <row r="38" spans="1:29" s="239" customFormat="1" x14ac:dyDescent="0.3">
      <c r="A38" s="77">
        <v>26</v>
      </c>
      <c r="B38" s="350" t="s">
        <v>679</v>
      </c>
      <c r="C38" s="350" t="s">
        <v>696</v>
      </c>
      <c r="D38" s="350" t="s">
        <v>349</v>
      </c>
      <c r="E38" s="241">
        <v>1</v>
      </c>
      <c r="F38" s="354" t="s">
        <v>715</v>
      </c>
      <c r="G38" s="355">
        <v>4.01</v>
      </c>
      <c r="H38" s="352">
        <v>2.81</v>
      </c>
      <c r="I38" s="242">
        <v>17697</v>
      </c>
      <c r="J38" s="365">
        <v>1.71</v>
      </c>
      <c r="K38" s="243">
        <f t="shared" si="0"/>
        <v>85035.854699999996</v>
      </c>
      <c r="L38" s="243"/>
      <c r="M38" s="243">
        <f t="shared" si="6"/>
        <v>85035.854699999996</v>
      </c>
      <c r="N38" s="243"/>
      <c r="O38" s="243">
        <f t="shared" si="2"/>
        <v>85035.854699999996</v>
      </c>
      <c r="P38" s="243">
        <f t="shared" si="3"/>
        <v>8503.58547</v>
      </c>
      <c r="Q38" s="242"/>
      <c r="R38" s="242"/>
      <c r="S38" s="242"/>
      <c r="T38" s="242"/>
      <c r="U38" s="242"/>
      <c r="V38" s="242"/>
      <c r="W38" s="242"/>
      <c r="X38" s="242"/>
      <c r="Y38" s="242"/>
      <c r="Z38" s="242"/>
      <c r="AA38" s="243"/>
      <c r="AB38" s="243">
        <f t="shared" si="4"/>
        <v>93539.440170000002</v>
      </c>
      <c r="AC38" s="243">
        <f t="shared" si="5"/>
        <v>1122.47328204</v>
      </c>
    </row>
    <row r="39" spans="1:29" s="239" customFormat="1" x14ac:dyDescent="0.3">
      <c r="A39" s="242">
        <v>27</v>
      </c>
      <c r="B39" s="350" t="s">
        <v>301</v>
      </c>
      <c r="C39" s="350" t="s">
        <v>697</v>
      </c>
      <c r="D39" s="350" t="s">
        <v>349</v>
      </c>
      <c r="E39" s="241">
        <v>1</v>
      </c>
      <c r="F39" s="354" t="s">
        <v>715</v>
      </c>
      <c r="G39" s="355">
        <v>8</v>
      </c>
      <c r="H39" s="352">
        <v>2.81</v>
      </c>
      <c r="I39" s="242">
        <v>17697</v>
      </c>
      <c r="J39" s="365">
        <v>1.71</v>
      </c>
      <c r="K39" s="243">
        <f t="shared" si="0"/>
        <v>85035.854699999996</v>
      </c>
      <c r="L39" s="243"/>
      <c r="M39" s="243">
        <f t="shared" si="6"/>
        <v>85035.854699999996</v>
      </c>
      <c r="N39" s="243"/>
      <c r="O39" s="243">
        <f t="shared" si="2"/>
        <v>85035.854699999996</v>
      </c>
      <c r="P39" s="243">
        <f t="shared" si="3"/>
        <v>8503.58547</v>
      </c>
      <c r="Q39" s="242"/>
      <c r="R39" s="242">
        <v>5309</v>
      </c>
      <c r="S39" s="242"/>
      <c r="T39" s="242"/>
      <c r="U39" s="242"/>
      <c r="V39" s="242"/>
      <c r="W39" s="242"/>
      <c r="X39" s="242"/>
      <c r="Y39" s="242"/>
      <c r="Z39" s="242"/>
      <c r="AA39" s="243"/>
      <c r="AB39" s="243">
        <f t="shared" si="4"/>
        <v>98848.440170000002</v>
      </c>
      <c r="AC39" s="243">
        <f t="shared" si="5"/>
        <v>1186.18128204</v>
      </c>
    </row>
    <row r="40" spans="1:29" s="239" customFormat="1" x14ac:dyDescent="0.3">
      <c r="A40" s="77">
        <v>28</v>
      </c>
      <c r="B40" s="350" t="s">
        <v>680</v>
      </c>
      <c r="C40" s="350" t="s">
        <v>733</v>
      </c>
      <c r="D40" s="350" t="s">
        <v>349</v>
      </c>
      <c r="E40" s="241">
        <v>1</v>
      </c>
      <c r="F40" s="354" t="s">
        <v>715</v>
      </c>
      <c r="G40" s="355">
        <v>5</v>
      </c>
      <c r="H40" s="352">
        <v>2.81</v>
      </c>
      <c r="I40" s="242">
        <v>17697</v>
      </c>
      <c r="J40" s="365">
        <v>1.71</v>
      </c>
      <c r="K40" s="243">
        <f t="shared" si="0"/>
        <v>85035.854699999996</v>
      </c>
      <c r="L40" s="243"/>
      <c r="M40" s="243">
        <f t="shared" si="6"/>
        <v>85035.854699999996</v>
      </c>
      <c r="N40" s="243"/>
      <c r="O40" s="243">
        <f t="shared" si="2"/>
        <v>85035.854699999996</v>
      </c>
      <c r="P40" s="243">
        <f t="shared" si="3"/>
        <v>8503.58547</v>
      </c>
      <c r="Q40" s="242"/>
      <c r="R40" s="242">
        <v>3539</v>
      </c>
      <c r="S40" s="242"/>
      <c r="T40" s="242"/>
      <c r="U40" s="242"/>
      <c r="V40" s="242"/>
      <c r="W40" s="242"/>
      <c r="X40" s="242"/>
      <c r="Y40" s="242"/>
      <c r="Z40" s="242"/>
      <c r="AA40" s="243"/>
      <c r="AB40" s="243">
        <f t="shared" si="4"/>
        <v>97078.440170000002</v>
      </c>
      <c r="AC40" s="243">
        <f t="shared" si="5"/>
        <v>1164.94128204</v>
      </c>
    </row>
    <row r="41" spans="1:29" s="239" customFormat="1" x14ac:dyDescent="0.3">
      <c r="A41" s="242">
        <v>29</v>
      </c>
      <c r="B41" s="350" t="s">
        <v>681</v>
      </c>
      <c r="C41" s="350" t="s">
        <v>698</v>
      </c>
      <c r="D41" s="350" t="s">
        <v>349</v>
      </c>
      <c r="E41" s="241">
        <v>1</v>
      </c>
      <c r="F41" s="354" t="s">
        <v>715</v>
      </c>
      <c r="G41" s="355">
        <v>6.06</v>
      </c>
      <c r="H41" s="352">
        <v>2.81</v>
      </c>
      <c r="I41" s="242">
        <v>17697</v>
      </c>
      <c r="J41" s="365">
        <v>1.71</v>
      </c>
      <c r="K41" s="243">
        <f t="shared" si="0"/>
        <v>85035.854699999996</v>
      </c>
      <c r="L41" s="243"/>
      <c r="M41" s="243">
        <f t="shared" si="6"/>
        <v>85035.854699999996</v>
      </c>
      <c r="N41" s="243"/>
      <c r="O41" s="243">
        <f t="shared" si="2"/>
        <v>85035.854699999996</v>
      </c>
      <c r="P41" s="243">
        <f t="shared" si="3"/>
        <v>8503.58547</v>
      </c>
      <c r="Q41" s="242"/>
      <c r="R41" s="242"/>
      <c r="S41" s="242"/>
      <c r="T41" s="242">
        <v>6615</v>
      </c>
      <c r="U41" s="242">
        <v>12010</v>
      </c>
      <c r="V41" s="242"/>
      <c r="W41" s="242"/>
      <c r="X41" s="242"/>
      <c r="Y41" s="242"/>
      <c r="Z41" s="242"/>
      <c r="AA41" s="243"/>
      <c r="AB41" s="243">
        <f t="shared" si="4"/>
        <v>112164.44017</v>
      </c>
      <c r="AC41" s="243">
        <f t="shared" si="5"/>
        <v>1345.97328204</v>
      </c>
    </row>
    <row r="42" spans="1:29" s="239" customFormat="1" x14ac:dyDescent="0.3">
      <c r="A42" s="77">
        <v>30</v>
      </c>
      <c r="B42" s="350" t="s">
        <v>681</v>
      </c>
      <c r="C42" s="350" t="s">
        <v>699</v>
      </c>
      <c r="D42" s="350" t="s">
        <v>349</v>
      </c>
      <c r="E42" s="241">
        <v>1</v>
      </c>
      <c r="F42" s="354" t="s">
        <v>715</v>
      </c>
      <c r="G42" s="355">
        <v>13</v>
      </c>
      <c r="H42" s="352">
        <v>2.81</v>
      </c>
      <c r="I42" s="242">
        <v>17697</v>
      </c>
      <c r="J42" s="365">
        <v>1.71</v>
      </c>
      <c r="K42" s="243">
        <f t="shared" si="0"/>
        <v>85035.854699999996</v>
      </c>
      <c r="L42" s="243"/>
      <c r="M42" s="243">
        <f t="shared" si="6"/>
        <v>85035.854699999996</v>
      </c>
      <c r="N42" s="243"/>
      <c r="O42" s="243">
        <f t="shared" si="2"/>
        <v>85035.854699999996</v>
      </c>
      <c r="P42" s="243">
        <f t="shared" si="3"/>
        <v>8503.58547</v>
      </c>
      <c r="Q42" s="242"/>
      <c r="R42" s="242"/>
      <c r="S42" s="242"/>
      <c r="T42" s="242">
        <v>6615</v>
      </c>
      <c r="U42" s="242">
        <v>12010</v>
      </c>
      <c r="V42" s="242"/>
      <c r="W42" s="242"/>
      <c r="X42" s="242"/>
      <c r="Y42" s="242"/>
      <c r="Z42" s="242"/>
      <c r="AA42" s="243"/>
      <c r="AB42" s="243">
        <f t="shared" si="4"/>
        <v>112164.44017</v>
      </c>
      <c r="AC42" s="243">
        <f t="shared" si="5"/>
        <v>1345.97328204</v>
      </c>
    </row>
    <row r="43" spans="1:29" s="239" customFormat="1" x14ac:dyDescent="0.3">
      <c r="A43" s="242">
        <v>31</v>
      </c>
      <c r="B43" s="350" t="s">
        <v>681</v>
      </c>
      <c r="C43" s="350" t="s">
        <v>700</v>
      </c>
      <c r="D43" s="350" t="s">
        <v>349</v>
      </c>
      <c r="E43" s="241">
        <v>1</v>
      </c>
      <c r="F43" s="354" t="s">
        <v>715</v>
      </c>
      <c r="G43" s="355">
        <v>24</v>
      </c>
      <c r="H43" s="352">
        <v>2.81</v>
      </c>
      <c r="I43" s="242">
        <v>17697</v>
      </c>
      <c r="J43" s="365">
        <v>1.71</v>
      </c>
      <c r="K43" s="243">
        <f t="shared" si="0"/>
        <v>85035.854699999996</v>
      </c>
      <c r="L43" s="243"/>
      <c r="M43" s="243">
        <f t="shared" si="6"/>
        <v>85035.854699999996</v>
      </c>
      <c r="N43" s="243"/>
      <c r="O43" s="243">
        <f t="shared" si="2"/>
        <v>85035.854699999996</v>
      </c>
      <c r="P43" s="243">
        <f t="shared" si="3"/>
        <v>8503.58547</v>
      </c>
      <c r="Q43" s="242"/>
      <c r="R43" s="242"/>
      <c r="S43" s="242"/>
      <c r="T43" s="242">
        <v>6615</v>
      </c>
      <c r="U43" s="242">
        <v>12010</v>
      </c>
      <c r="V43" s="242"/>
      <c r="W43" s="242"/>
      <c r="X43" s="242"/>
      <c r="Y43" s="242"/>
      <c r="Z43" s="242"/>
      <c r="AA43" s="243"/>
      <c r="AB43" s="243">
        <f t="shared" si="4"/>
        <v>112164.44017</v>
      </c>
      <c r="AC43" s="243">
        <f t="shared" si="5"/>
        <v>1345.97328204</v>
      </c>
    </row>
    <row r="44" spans="1:29" s="239" customFormat="1" x14ac:dyDescent="0.3">
      <c r="A44" s="77">
        <v>32</v>
      </c>
      <c r="B44" s="350" t="s">
        <v>682</v>
      </c>
      <c r="C44" s="350" t="s">
        <v>701</v>
      </c>
      <c r="D44" s="350" t="s">
        <v>349</v>
      </c>
      <c r="E44" s="241">
        <v>1</v>
      </c>
      <c r="F44" s="354" t="s">
        <v>715</v>
      </c>
      <c r="G44" s="355">
        <v>15</v>
      </c>
      <c r="H44" s="352">
        <v>2.81</v>
      </c>
      <c r="I44" s="242">
        <v>17697</v>
      </c>
      <c r="J44" s="365">
        <v>1.71</v>
      </c>
      <c r="K44" s="243">
        <f t="shared" si="0"/>
        <v>85035.854699999996</v>
      </c>
      <c r="L44" s="243"/>
      <c r="M44" s="243">
        <f t="shared" si="6"/>
        <v>85035.854699999996</v>
      </c>
      <c r="N44" s="243"/>
      <c r="O44" s="243">
        <f t="shared" si="2"/>
        <v>85035.854699999996</v>
      </c>
      <c r="P44" s="243">
        <f t="shared" si="3"/>
        <v>8503.58547</v>
      </c>
      <c r="Q44" s="242"/>
      <c r="R44" s="357">
        <v>3539</v>
      </c>
      <c r="S44" s="242"/>
      <c r="T44" s="242"/>
      <c r="U44" s="242"/>
      <c r="V44" s="242"/>
      <c r="W44" s="242"/>
      <c r="X44" s="242"/>
      <c r="Y44" s="242"/>
      <c r="Z44" s="242"/>
      <c r="AA44" s="243"/>
      <c r="AB44" s="243">
        <f t="shared" si="4"/>
        <v>97078.440170000002</v>
      </c>
      <c r="AC44" s="243">
        <f t="shared" si="5"/>
        <v>1164.94128204</v>
      </c>
    </row>
    <row r="45" spans="1:29" s="239" customFormat="1" x14ac:dyDescent="0.3">
      <c r="A45" s="242">
        <v>33</v>
      </c>
      <c r="B45" s="350" t="s">
        <v>682</v>
      </c>
      <c r="C45" s="350" t="s">
        <v>702</v>
      </c>
      <c r="D45" s="350" t="s">
        <v>349</v>
      </c>
      <c r="E45" s="241">
        <v>1</v>
      </c>
      <c r="F45" s="354" t="s">
        <v>715</v>
      </c>
      <c r="G45" s="355">
        <v>30</v>
      </c>
      <c r="H45" s="352">
        <v>2.81</v>
      </c>
      <c r="I45" s="242">
        <v>17697</v>
      </c>
      <c r="J45" s="365">
        <v>1.71</v>
      </c>
      <c r="K45" s="243">
        <f t="shared" si="0"/>
        <v>85035.854699999996</v>
      </c>
      <c r="L45" s="243"/>
      <c r="M45" s="243">
        <f t="shared" si="6"/>
        <v>85035.854699999996</v>
      </c>
      <c r="N45" s="243"/>
      <c r="O45" s="243">
        <f t="shared" si="2"/>
        <v>85035.854699999996</v>
      </c>
      <c r="P45" s="243">
        <f t="shared" si="3"/>
        <v>8503.58547</v>
      </c>
      <c r="Q45" s="242"/>
      <c r="R45" s="357">
        <v>3539</v>
      </c>
      <c r="S45" s="242"/>
      <c r="T45" s="242"/>
      <c r="U45" s="242"/>
      <c r="V45" s="242"/>
      <c r="W45" s="242"/>
      <c r="X45" s="242"/>
      <c r="Y45" s="242"/>
      <c r="Z45" s="242"/>
      <c r="AA45" s="243"/>
      <c r="AB45" s="243">
        <f t="shared" si="4"/>
        <v>97078.440170000002</v>
      </c>
      <c r="AC45" s="243">
        <f t="shared" si="5"/>
        <v>1164.94128204</v>
      </c>
    </row>
    <row r="46" spans="1:29" s="239" customFormat="1" x14ac:dyDescent="0.3">
      <c r="A46" s="77">
        <v>34</v>
      </c>
      <c r="B46" s="350" t="s">
        <v>682</v>
      </c>
      <c r="C46" s="350" t="s">
        <v>754</v>
      </c>
      <c r="D46" s="350" t="s">
        <v>349</v>
      </c>
      <c r="E46" s="241">
        <v>1</v>
      </c>
      <c r="F46" s="354" t="s">
        <v>715</v>
      </c>
      <c r="G46" s="355">
        <v>32</v>
      </c>
      <c r="H46" s="352">
        <v>2.81</v>
      </c>
      <c r="I46" s="242">
        <v>17697</v>
      </c>
      <c r="J46" s="365">
        <v>1.71</v>
      </c>
      <c r="K46" s="243">
        <f t="shared" si="0"/>
        <v>85035.854699999996</v>
      </c>
      <c r="L46" s="243"/>
      <c r="M46" s="243">
        <f t="shared" si="6"/>
        <v>85035.854699999996</v>
      </c>
      <c r="N46" s="243"/>
      <c r="O46" s="243">
        <f t="shared" si="2"/>
        <v>85035.854699999996</v>
      </c>
      <c r="P46" s="243">
        <f t="shared" si="3"/>
        <v>8503.58547</v>
      </c>
      <c r="Q46" s="242"/>
      <c r="R46" s="357">
        <v>3539</v>
      </c>
      <c r="S46" s="242"/>
      <c r="T46" s="242"/>
      <c r="U46" s="242"/>
      <c r="V46" s="242"/>
      <c r="W46" s="242"/>
      <c r="X46" s="243"/>
      <c r="Y46" s="242"/>
      <c r="Z46" s="242"/>
      <c r="AA46" s="243"/>
      <c r="AB46" s="243">
        <f t="shared" si="4"/>
        <v>97078.440170000002</v>
      </c>
      <c r="AC46" s="243">
        <f t="shared" si="5"/>
        <v>1164.94128204</v>
      </c>
    </row>
    <row r="47" spans="1:29" s="239" customFormat="1" x14ac:dyDescent="0.3">
      <c r="A47" s="242">
        <v>35</v>
      </c>
      <c r="B47" s="350" t="s">
        <v>682</v>
      </c>
      <c r="C47" s="350" t="s">
        <v>703</v>
      </c>
      <c r="D47" s="350" t="s">
        <v>349</v>
      </c>
      <c r="E47" s="241">
        <v>1</v>
      </c>
      <c r="F47" s="354" t="s">
        <v>715</v>
      </c>
      <c r="G47" s="355">
        <v>16</v>
      </c>
      <c r="H47" s="352">
        <v>2.81</v>
      </c>
      <c r="I47" s="242">
        <v>17697</v>
      </c>
      <c r="J47" s="365">
        <v>1.71</v>
      </c>
      <c r="K47" s="243">
        <f t="shared" si="0"/>
        <v>85035.854699999996</v>
      </c>
      <c r="L47" s="243"/>
      <c r="M47" s="243">
        <f t="shared" si="6"/>
        <v>85035.854699999996</v>
      </c>
      <c r="N47" s="243"/>
      <c r="O47" s="243">
        <f t="shared" si="2"/>
        <v>85035.854699999996</v>
      </c>
      <c r="P47" s="243">
        <f t="shared" si="3"/>
        <v>8503.58547</v>
      </c>
      <c r="Q47" s="242"/>
      <c r="R47" s="357">
        <v>3539</v>
      </c>
      <c r="S47" s="242"/>
      <c r="T47" s="242"/>
      <c r="U47" s="242"/>
      <c r="V47" s="242"/>
      <c r="W47" s="242"/>
      <c r="X47" s="243"/>
      <c r="Y47" s="242"/>
      <c r="Z47" s="242"/>
      <c r="AA47" s="243"/>
      <c r="AB47" s="243">
        <f t="shared" si="4"/>
        <v>97078.440170000002</v>
      </c>
      <c r="AC47" s="243">
        <f t="shared" si="5"/>
        <v>1164.94128204</v>
      </c>
    </row>
    <row r="48" spans="1:29" s="239" customFormat="1" ht="16.5" customHeight="1" x14ac:dyDescent="0.3">
      <c r="A48" s="77">
        <v>36</v>
      </c>
      <c r="B48" s="350" t="s">
        <v>682</v>
      </c>
      <c r="C48" s="350" t="s">
        <v>704</v>
      </c>
      <c r="D48" s="350" t="s">
        <v>349</v>
      </c>
      <c r="E48" s="241">
        <v>1</v>
      </c>
      <c r="F48" s="354" t="s">
        <v>715</v>
      </c>
      <c r="G48" s="355">
        <v>26</v>
      </c>
      <c r="H48" s="352">
        <v>2.81</v>
      </c>
      <c r="I48" s="242">
        <v>17697</v>
      </c>
      <c r="J48" s="365">
        <v>1.71</v>
      </c>
      <c r="K48" s="243">
        <f t="shared" si="0"/>
        <v>85035.854699999996</v>
      </c>
      <c r="L48" s="243"/>
      <c r="M48" s="243">
        <f t="shared" si="6"/>
        <v>85035.854699999996</v>
      </c>
      <c r="N48" s="243"/>
      <c r="O48" s="243">
        <f t="shared" si="2"/>
        <v>85035.854699999996</v>
      </c>
      <c r="P48" s="243">
        <f t="shared" si="3"/>
        <v>8503.58547</v>
      </c>
      <c r="Q48" s="242"/>
      <c r="R48" s="357">
        <v>3539</v>
      </c>
      <c r="S48" s="242"/>
      <c r="T48" s="242"/>
      <c r="U48" s="242"/>
      <c r="V48" s="242"/>
      <c r="W48" s="242"/>
      <c r="X48" s="242"/>
      <c r="Y48" s="242"/>
      <c r="Z48" s="242"/>
      <c r="AA48" s="242"/>
      <c r="AB48" s="243">
        <f t="shared" si="4"/>
        <v>97078.440170000002</v>
      </c>
      <c r="AC48" s="243">
        <f t="shared" si="5"/>
        <v>1164.94128204</v>
      </c>
    </row>
    <row r="49" spans="1:29" s="239" customFormat="1" ht="16.5" customHeight="1" x14ac:dyDescent="0.3">
      <c r="A49" s="242">
        <v>37</v>
      </c>
      <c r="B49" s="350" t="s">
        <v>682</v>
      </c>
      <c r="C49" s="350" t="s">
        <v>705</v>
      </c>
      <c r="D49" s="350" t="s">
        <v>349</v>
      </c>
      <c r="E49" s="241">
        <v>1</v>
      </c>
      <c r="F49" s="354" t="s">
        <v>715</v>
      </c>
      <c r="G49" s="355">
        <v>13.01</v>
      </c>
      <c r="H49" s="352">
        <v>2.81</v>
      </c>
      <c r="I49" s="242">
        <v>17697</v>
      </c>
      <c r="J49" s="365">
        <v>1.71</v>
      </c>
      <c r="K49" s="243">
        <f t="shared" si="0"/>
        <v>85035.854699999996</v>
      </c>
      <c r="L49" s="243"/>
      <c r="M49" s="243">
        <f t="shared" si="6"/>
        <v>85035.854699999996</v>
      </c>
      <c r="N49" s="243"/>
      <c r="O49" s="243">
        <f t="shared" si="2"/>
        <v>85035.854699999996</v>
      </c>
      <c r="P49" s="243">
        <f t="shared" si="3"/>
        <v>8503.58547</v>
      </c>
      <c r="Q49" s="242"/>
      <c r="R49" s="358">
        <v>3539</v>
      </c>
      <c r="S49" s="242"/>
      <c r="T49" s="242"/>
      <c r="U49" s="242"/>
      <c r="V49" s="242"/>
      <c r="W49" s="242"/>
      <c r="X49" s="242"/>
      <c r="Y49" s="242"/>
      <c r="Z49" s="242"/>
      <c r="AA49" s="242"/>
      <c r="AB49" s="243">
        <f t="shared" si="4"/>
        <v>97078.440170000002</v>
      </c>
      <c r="AC49" s="243">
        <f t="shared" si="5"/>
        <v>1164.94128204</v>
      </c>
    </row>
    <row r="50" spans="1:29" s="239" customFormat="1" ht="16.5" customHeight="1" x14ac:dyDescent="0.3">
      <c r="A50" s="77">
        <v>38</v>
      </c>
      <c r="B50" s="350" t="s">
        <v>683</v>
      </c>
      <c r="C50" s="350" t="s">
        <v>706</v>
      </c>
      <c r="D50" s="350" t="s">
        <v>710</v>
      </c>
      <c r="E50" s="241">
        <v>1</v>
      </c>
      <c r="F50" s="354" t="s">
        <v>716</v>
      </c>
      <c r="G50" s="355">
        <v>8</v>
      </c>
      <c r="H50" s="352">
        <v>2.86</v>
      </c>
      <c r="I50" s="242">
        <v>17697</v>
      </c>
      <c r="J50" s="365">
        <v>1.71</v>
      </c>
      <c r="K50" s="243">
        <f>H50*I50*J50*E50</f>
        <v>86548.948199999999</v>
      </c>
      <c r="L50" s="243"/>
      <c r="M50" s="243">
        <f t="shared" si="6"/>
        <v>86548.948199999999</v>
      </c>
      <c r="N50" s="243"/>
      <c r="O50" s="243">
        <f>K50+L50</f>
        <v>86548.948199999999</v>
      </c>
      <c r="P50" s="243">
        <f>O50*0.1</f>
        <v>8654.8948199999995</v>
      </c>
      <c r="Q50" s="242"/>
      <c r="R50" s="242"/>
      <c r="S50" s="242"/>
      <c r="T50" s="242"/>
      <c r="U50" s="242"/>
      <c r="V50" s="242"/>
      <c r="W50" s="242"/>
      <c r="X50" s="242"/>
      <c r="Y50" s="242"/>
      <c r="Z50" s="242"/>
      <c r="AA50" s="242"/>
      <c r="AB50" s="243">
        <f t="shared" si="4"/>
        <v>95203.84302</v>
      </c>
      <c r="AC50" s="243">
        <f>AB50*12/1000</f>
        <v>1142.4461162399998</v>
      </c>
    </row>
    <row r="51" spans="1:29" s="239" customFormat="1" ht="16.5" customHeight="1" x14ac:dyDescent="0.3">
      <c r="A51" s="242">
        <v>39</v>
      </c>
      <c r="B51" s="350" t="s">
        <v>684</v>
      </c>
      <c r="C51" s="350" t="s">
        <v>707</v>
      </c>
      <c r="D51" s="350" t="s">
        <v>710</v>
      </c>
      <c r="E51" s="241">
        <v>1</v>
      </c>
      <c r="F51" s="354" t="s">
        <v>716</v>
      </c>
      <c r="G51" s="355">
        <v>12.05</v>
      </c>
      <c r="H51" s="352">
        <v>2.86</v>
      </c>
      <c r="I51" s="242">
        <v>17697</v>
      </c>
      <c r="J51" s="365">
        <v>1.71</v>
      </c>
      <c r="K51" s="243">
        <f>H51*I51*J51*E51</f>
        <v>86548.948199999999</v>
      </c>
      <c r="L51" s="243"/>
      <c r="M51" s="243">
        <f t="shared" si="6"/>
        <v>86548.948199999999</v>
      </c>
      <c r="N51" s="243"/>
      <c r="O51" s="243">
        <f>K51+L51</f>
        <v>86548.948199999999</v>
      </c>
      <c r="P51" s="243">
        <f>O51*0.1</f>
        <v>8654.8948199999995</v>
      </c>
      <c r="Q51" s="242"/>
      <c r="R51" s="242"/>
      <c r="S51" s="242"/>
      <c r="T51" s="242"/>
      <c r="U51" s="242"/>
      <c r="V51" s="242"/>
      <c r="W51" s="242"/>
      <c r="X51" s="242"/>
      <c r="Y51" s="242"/>
      <c r="Z51" s="242"/>
      <c r="AA51" s="242"/>
      <c r="AB51" s="243">
        <f t="shared" si="4"/>
        <v>95203.84302</v>
      </c>
      <c r="AC51" s="243">
        <f>AB51*12/1000</f>
        <v>1142.4461162399998</v>
      </c>
    </row>
    <row r="52" spans="1:29" s="239" customFormat="1" ht="16.5" customHeight="1" x14ac:dyDescent="0.3">
      <c r="A52" s="77">
        <v>40</v>
      </c>
      <c r="B52" s="350" t="s">
        <v>685</v>
      </c>
      <c r="C52" s="350" t="s">
        <v>708</v>
      </c>
      <c r="D52" s="350" t="s">
        <v>349</v>
      </c>
      <c r="E52" s="241">
        <v>1</v>
      </c>
      <c r="F52" s="354" t="s">
        <v>716</v>
      </c>
      <c r="G52" s="355">
        <v>12.05</v>
      </c>
      <c r="H52" s="352">
        <v>2.86</v>
      </c>
      <c r="I52" s="242">
        <v>17697</v>
      </c>
      <c r="J52" s="365">
        <v>1.71</v>
      </c>
      <c r="K52" s="243">
        <f>H52*I52*J52*E52</f>
        <v>86548.948199999999</v>
      </c>
      <c r="L52" s="243"/>
      <c r="M52" s="243">
        <f t="shared" si="6"/>
        <v>86548.948199999999</v>
      </c>
      <c r="N52" s="243"/>
      <c r="O52" s="243">
        <f>K52+L52</f>
        <v>86548.948199999999</v>
      </c>
      <c r="P52" s="243">
        <f>O52*0.1</f>
        <v>8654.8948199999995</v>
      </c>
      <c r="Q52" s="242"/>
      <c r="R52" s="242"/>
      <c r="S52" s="242"/>
      <c r="T52" s="242"/>
      <c r="U52" s="242"/>
      <c r="V52" s="242"/>
      <c r="W52" s="242"/>
      <c r="X52" s="242"/>
      <c r="Y52" s="242"/>
      <c r="Z52" s="242"/>
      <c r="AA52" s="242"/>
      <c r="AB52" s="243">
        <f t="shared" si="4"/>
        <v>95203.84302</v>
      </c>
      <c r="AC52" s="243">
        <f>AB52*12/1000</f>
        <v>1142.4461162399998</v>
      </c>
    </row>
    <row r="53" spans="1:29" s="239" customFormat="1" ht="16.5" customHeight="1" x14ac:dyDescent="0.3">
      <c r="A53" s="242">
        <v>41</v>
      </c>
      <c r="B53" s="350" t="s">
        <v>685</v>
      </c>
      <c r="C53" s="350" t="s">
        <v>709</v>
      </c>
      <c r="D53" s="350" t="s">
        <v>349</v>
      </c>
      <c r="E53" s="241">
        <v>1</v>
      </c>
      <c r="F53" s="354" t="s">
        <v>716</v>
      </c>
      <c r="G53" s="355">
        <v>15</v>
      </c>
      <c r="H53" s="352">
        <v>2.86</v>
      </c>
      <c r="I53" s="242">
        <v>17697</v>
      </c>
      <c r="J53" s="365">
        <v>1.71</v>
      </c>
      <c r="K53" s="243">
        <f>H53*I53*J53*E53</f>
        <v>86548.948199999999</v>
      </c>
      <c r="L53" s="243"/>
      <c r="M53" s="243">
        <f t="shared" si="6"/>
        <v>86548.948199999999</v>
      </c>
      <c r="N53" s="243"/>
      <c r="O53" s="243">
        <f>K53+L53</f>
        <v>86548.948199999999</v>
      </c>
      <c r="P53" s="243">
        <f>O53*0.1</f>
        <v>8654.8948199999995</v>
      </c>
      <c r="Q53" s="242"/>
      <c r="R53" s="242"/>
      <c r="S53" s="242"/>
      <c r="T53" s="242"/>
      <c r="U53" s="242"/>
      <c r="V53" s="242"/>
      <c r="W53" s="242"/>
      <c r="X53" s="242"/>
      <c r="Y53" s="242"/>
      <c r="Z53" s="242"/>
      <c r="AA53" s="242"/>
      <c r="AB53" s="243">
        <f t="shared" si="4"/>
        <v>95203.84302</v>
      </c>
      <c r="AC53" s="243">
        <f>AB53*12/1000</f>
        <v>1142.4461162399998</v>
      </c>
    </row>
    <row r="54" spans="1:29" s="239" customFormat="1" ht="16.5" customHeight="1" x14ac:dyDescent="0.3">
      <c r="A54" s="77">
        <v>42</v>
      </c>
      <c r="B54" s="350" t="s">
        <v>686</v>
      </c>
      <c r="C54" s="350" t="s">
        <v>696</v>
      </c>
      <c r="D54" s="350" t="s">
        <v>349</v>
      </c>
      <c r="E54" s="241">
        <v>0.5</v>
      </c>
      <c r="F54" s="354" t="s">
        <v>716</v>
      </c>
      <c r="G54" s="355">
        <v>5</v>
      </c>
      <c r="H54" s="352">
        <v>2.86</v>
      </c>
      <c r="I54" s="242">
        <v>17697</v>
      </c>
      <c r="J54" s="365">
        <v>1.71</v>
      </c>
      <c r="K54" s="243">
        <f>H54*I54*J54*E54</f>
        <v>43274.474099999999</v>
      </c>
      <c r="L54" s="243"/>
      <c r="M54" s="243">
        <f t="shared" si="6"/>
        <v>43274.474099999999</v>
      </c>
      <c r="N54" s="243"/>
      <c r="O54" s="243">
        <f>K54+L54</f>
        <v>43274.474099999999</v>
      </c>
      <c r="P54" s="243">
        <f>O54*0.1</f>
        <v>4327.4474099999998</v>
      </c>
      <c r="Q54" s="242"/>
      <c r="R54" s="242">
        <v>1770</v>
      </c>
      <c r="S54" s="242"/>
      <c r="T54" s="242"/>
      <c r="U54" s="242"/>
      <c r="V54" s="242"/>
      <c r="W54" s="242"/>
      <c r="X54" s="242"/>
      <c r="Y54" s="242"/>
      <c r="Z54" s="242"/>
      <c r="AA54" s="242"/>
      <c r="AB54" s="243">
        <f t="shared" si="4"/>
        <v>49371.92151</v>
      </c>
      <c r="AC54" s="243">
        <f>AB54*12/1000</f>
        <v>592.46305811999991</v>
      </c>
    </row>
    <row r="55" spans="1:29" s="239" customFormat="1" x14ac:dyDescent="0.3">
      <c r="A55" s="242">
        <v>43</v>
      </c>
      <c r="B55" s="350" t="s">
        <v>682</v>
      </c>
      <c r="C55" s="350" t="s">
        <v>746</v>
      </c>
      <c r="D55" s="350" t="s">
        <v>349</v>
      </c>
      <c r="E55" s="241">
        <v>1</v>
      </c>
      <c r="F55" s="354" t="s">
        <v>715</v>
      </c>
      <c r="G55" s="355">
        <v>1</v>
      </c>
      <c r="H55" s="352">
        <v>2.81</v>
      </c>
      <c r="I55" s="242">
        <v>17697</v>
      </c>
      <c r="J55" s="365">
        <v>1.71</v>
      </c>
      <c r="K55" s="243">
        <f t="shared" ref="K55:K57" si="19">H55*I55*J55*E55</f>
        <v>85035.854699999996</v>
      </c>
      <c r="L55" s="243"/>
      <c r="M55" s="243">
        <f t="shared" si="6"/>
        <v>85035.854699999996</v>
      </c>
      <c r="N55" s="243"/>
      <c r="O55" s="243">
        <f t="shared" ref="O55:O57" si="20">K55+L55</f>
        <v>85035.854699999996</v>
      </c>
      <c r="P55" s="243">
        <f t="shared" ref="P55:P57" si="21">O55*0.1</f>
        <v>8503.58547</v>
      </c>
      <c r="Q55" s="242"/>
      <c r="R55" s="357">
        <v>3539</v>
      </c>
      <c r="S55" s="242"/>
      <c r="T55" s="242"/>
      <c r="U55" s="242"/>
      <c r="V55" s="242"/>
      <c r="W55" s="242"/>
      <c r="X55" s="242"/>
      <c r="Y55" s="242"/>
      <c r="Z55" s="242"/>
      <c r="AA55" s="243"/>
      <c r="AB55" s="243">
        <f t="shared" si="4"/>
        <v>97078.440170000002</v>
      </c>
      <c r="AC55" s="243">
        <f t="shared" ref="AC55:AC57" si="22">AB55*12/1000</f>
        <v>1164.94128204</v>
      </c>
    </row>
    <row r="56" spans="1:29" s="239" customFormat="1" x14ac:dyDescent="0.3">
      <c r="A56" s="77">
        <v>44</v>
      </c>
      <c r="B56" s="350" t="s">
        <v>682</v>
      </c>
      <c r="C56" s="350" t="s">
        <v>748</v>
      </c>
      <c r="D56" s="350" t="s">
        <v>349</v>
      </c>
      <c r="E56" s="241">
        <v>1</v>
      </c>
      <c r="F56" s="354" t="s">
        <v>715</v>
      </c>
      <c r="G56" s="355">
        <v>1</v>
      </c>
      <c r="H56" s="352">
        <v>2.81</v>
      </c>
      <c r="I56" s="242">
        <v>17697</v>
      </c>
      <c r="J56" s="365">
        <v>1.71</v>
      </c>
      <c r="K56" s="243">
        <f t="shared" si="19"/>
        <v>85035.854699999996</v>
      </c>
      <c r="L56" s="243"/>
      <c r="M56" s="243">
        <f t="shared" si="6"/>
        <v>85035.854699999996</v>
      </c>
      <c r="N56" s="243"/>
      <c r="O56" s="243">
        <f t="shared" si="20"/>
        <v>85035.854699999996</v>
      </c>
      <c r="P56" s="243">
        <f t="shared" si="21"/>
        <v>8503.58547</v>
      </c>
      <c r="Q56" s="242"/>
      <c r="R56" s="357">
        <v>3539</v>
      </c>
      <c r="S56" s="242"/>
      <c r="T56" s="242"/>
      <c r="U56" s="242"/>
      <c r="V56" s="242"/>
      <c r="W56" s="242"/>
      <c r="X56" s="242"/>
      <c r="Y56" s="242"/>
      <c r="Z56" s="242"/>
      <c r="AA56" s="243"/>
      <c r="AB56" s="243">
        <f t="shared" si="4"/>
        <v>97078.440170000002</v>
      </c>
      <c r="AC56" s="243">
        <f t="shared" si="22"/>
        <v>1164.94128204</v>
      </c>
    </row>
    <row r="57" spans="1:29" s="239" customFormat="1" x14ac:dyDescent="0.3">
      <c r="A57" s="242">
        <v>45</v>
      </c>
      <c r="B57" s="350" t="s">
        <v>682</v>
      </c>
      <c r="C57" s="350" t="s">
        <v>747</v>
      </c>
      <c r="D57" s="350" t="s">
        <v>349</v>
      </c>
      <c r="E57" s="241">
        <v>1</v>
      </c>
      <c r="F57" s="354" t="s">
        <v>715</v>
      </c>
      <c r="G57" s="355">
        <v>1</v>
      </c>
      <c r="H57" s="352">
        <v>2.81</v>
      </c>
      <c r="I57" s="242">
        <v>17697</v>
      </c>
      <c r="J57" s="365">
        <v>1.71</v>
      </c>
      <c r="K57" s="243">
        <f t="shared" si="19"/>
        <v>85035.854699999996</v>
      </c>
      <c r="L57" s="243"/>
      <c r="M57" s="243">
        <f t="shared" si="6"/>
        <v>85035.854699999996</v>
      </c>
      <c r="N57" s="243"/>
      <c r="O57" s="243">
        <f t="shared" si="20"/>
        <v>85035.854699999996</v>
      </c>
      <c r="P57" s="243">
        <f t="shared" si="21"/>
        <v>8503.58547</v>
      </c>
      <c r="Q57" s="242"/>
      <c r="R57" s="357">
        <v>3539</v>
      </c>
      <c r="S57" s="242"/>
      <c r="T57" s="242"/>
      <c r="U57" s="242"/>
      <c r="V57" s="242"/>
      <c r="W57" s="242"/>
      <c r="X57" s="243"/>
      <c r="Y57" s="242"/>
      <c r="Z57" s="242"/>
      <c r="AA57" s="243"/>
      <c r="AB57" s="243">
        <f t="shared" si="4"/>
        <v>97078.440170000002</v>
      </c>
      <c r="AC57" s="243">
        <f t="shared" si="22"/>
        <v>1164.94128204</v>
      </c>
    </row>
    <row r="58" spans="1:29" s="147" customFormat="1" x14ac:dyDescent="0.25">
      <c r="A58" s="437" t="s">
        <v>598</v>
      </c>
      <c r="B58" s="438"/>
      <c r="C58" s="438"/>
      <c r="D58" s="439"/>
      <c r="E58" s="244">
        <f>SUM(E13:E57)</f>
        <v>43</v>
      </c>
      <c r="F58" s="354"/>
      <c r="G58" s="355"/>
      <c r="H58" s="365"/>
      <c r="I58" s="242"/>
      <c r="J58" s="242"/>
      <c r="K58" s="245">
        <f>SUM(K13:K57)</f>
        <v>5091202.1481000017</v>
      </c>
      <c r="L58" s="245">
        <f>SUM(L13:L57)</f>
        <v>651751.30994999991</v>
      </c>
      <c r="M58" s="245"/>
      <c r="N58" s="245"/>
      <c r="O58" s="245">
        <f>SUM(O13:O57)</f>
        <v>5845286.3605500022</v>
      </c>
      <c r="P58" s="245">
        <f>SUM(P13:P57)</f>
        <v>584528.63605500024</v>
      </c>
      <c r="Q58" s="245">
        <f>SUM(Q13:Q57)</f>
        <v>0</v>
      </c>
      <c r="R58" s="245">
        <f>SUM(R25:R57)</f>
        <v>53087</v>
      </c>
      <c r="S58" s="245"/>
      <c r="T58" s="245">
        <f>SUM(T41:T57)</f>
        <v>19845</v>
      </c>
      <c r="U58" s="245">
        <f>SUM(U41:U57)</f>
        <v>36030</v>
      </c>
      <c r="V58" s="245"/>
      <c r="W58" s="245"/>
      <c r="X58" s="245"/>
      <c r="Y58" s="245"/>
      <c r="Z58" s="245"/>
      <c r="AA58" s="245">
        <f>SUM(AA13:AA57)</f>
        <v>206922.17250000002</v>
      </c>
      <c r="AB58" s="245">
        <f>SUM(AB13:AB57)</f>
        <v>6848430.2541050036</v>
      </c>
      <c r="AC58" s="245">
        <f>SUM(AC13:AC57)</f>
        <v>82181.163049260023</v>
      </c>
    </row>
    <row r="59" spans="1:29" ht="14" x14ac:dyDescent="0.3">
      <c r="B59" s="324"/>
      <c r="C59" s="152"/>
      <c r="D59" s="152"/>
      <c r="E59" s="325"/>
      <c r="F59" s="21"/>
    </row>
    <row r="60" spans="1:29" s="3" customFormat="1" ht="14" x14ac:dyDescent="0.3">
      <c r="B60" s="3" t="s">
        <v>613</v>
      </c>
      <c r="C60" s="21"/>
      <c r="D60" s="371"/>
      <c r="E60" s="444" t="s">
        <v>717</v>
      </c>
      <c r="F60" s="444"/>
      <c r="G60" s="444"/>
      <c r="H60" s="444"/>
      <c r="I60" s="444"/>
      <c r="J60" s="444"/>
      <c r="K60" s="444"/>
      <c r="L60" s="444"/>
      <c r="M60" s="13"/>
      <c r="N60" s="13"/>
      <c r="O60" s="18"/>
      <c r="P60" s="18"/>
      <c r="Q60" s="18"/>
      <c r="R60" s="18"/>
      <c r="S60" s="18"/>
      <c r="T60" s="18"/>
      <c r="U60" s="18"/>
      <c r="V60" s="18"/>
      <c r="W60" s="18"/>
      <c r="X60" s="18"/>
      <c r="Y60" s="18"/>
      <c r="Z60" s="18"/>
      <c r="AA60" s="18"/>
      <c r="AB60" s="18"/>
      <c r="AC60" s="18"/>
    </row>
    <row r="61" spans="1:29" ht="28.5" customHeight="1" x14ac:dyDescent="0.3"/>
    <row r="62" spans="1:29" ht="28.5" customHeight="1" x14ac:dyDescent="0.3">
      <c r="F62" s="109"/>
      <c r="G62" s="356"/>
    </row>
  </sheetData>
  <mergeCells count="24">
    <mergeCell ref="E60:L60"/>
    <mergeCell ref="H10:H11"/>
    <mergeCell ref="P10:V10"/>
    <mergeCell ref="W10:AA10"/>
    <mergeCell ref="E10:E11"/>
    <mergeCell ref="J10:J11"/>
    <mergeCell ref="M10:M11"/>
    <mergeCell ref="N10:N11"/>
    <mergeCell ref="A58:D58"/>
    <mergeCell ref="AB10:AB11"/>
    <mergeCell ref="AC10:AC11"/>
    <mergeCell ref="I10:I11"/>
    <mergeCell ref="V1:AB6"/>
    <mergeCell ref="A8:AC8"/>
    <mergeCell ref="K10:K11"/>
    <mergeCell ref="F10:F11"/>
    <mergeCell ref="O10:O11"/>
    <mergeCell ref="A9:AC9"/>
    <mergeCell ref="C10:C11"/>
    <mergeCell ref="D10:D11"/>
    <mergeCell ref="G10:G11"/>
    <mergeCell ref="L10:L11"/>
    <mergeCell ref="A10:A11"/>
    <mergeCell ref="B10:B11"/>
  </mergeCells>
  <pageMargins left="0" right="0" top="0.11811023622047245" bottom="0.11811023622047245" header="0" footer="0"/>
  <pageSetup paperSize="9" scale="60" fitToHeight="0" orientation="landscape" r:id="rId1"/>
  <colBreaks count="1" manualBreakCount="1">
    <brk id="2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22"/>
  <sheetViews>
    <sheetView topLeftCell="A17" zoomScale="80" zoomScaleNormal="80" zoomScaleSheetLayoutView="70" workbookViewId="0">
      <selection activeCell="D20" sqref="D20"/>
    </sheetView>
  </sheetViews>
  <sheetFormatPr defaultColWidth="9.1796875" defaultRowHeight="14" x14ac:dyDescent="0.3"/>
  <cols>
    <col min="1" max="1" width="5" style="296" customWidth="1"/>
    <col min="2" max="2" width="19.26953125" style="296" customWidth="1"/>
    <col min="3" max="3" width="11.7265625" style="296" customWidth="1"/>
    <col min="4" max="4" width="9.26953125" style="296" customWidth="1"/>
    <col min="5" max="5" width="8.453125" style="296" customWidth="1"/>
    <col min="6" max="6" width="11.81640625" style="295" customWidth="1"/>
    <col min="7" max="7" width="6.453125" style="14" customWidth="1"/>
    <col min="8" max="8" width="9.1796875" style="305" customWidth="1"/>
    <col min="9" max="9" width="9.54296875" style="306" customWidth="1"/>
    <col min="10" max="10" width="10" style="305" customWidth="1"/>
    <col min="11" max="11" width="6.7265625" style="14" customWidth="1"/>
    <col min="12" max="12" width="6.1796875" style="385" customWidth="1"/>
    <col min="13" max="13" width="12" style="347" customWidth="1"/>
    <col min="14" max="14" width="7.1796875" style="385" customWidth="1"/>
    <col min="15" max="15" width="10.1796875" style="347" customWidth="1"/>
    <col min="16" max="16" width="6.7265625" style="385" customWidth="1"/>
    <col min="17" max="17" width="10.1796875" style="336" customWidth="1"/>
    <col min="18" max="18" width="9.81640625" style="296" customWidth="1"/>
    <col min="19" max="19" width="10.81640625" style="305" customWidth="1"/>
    <col min="20" max="20" width="9.81640625" style="296" customWidth="1"/>
    <col min="21" max="21" width="5.7265625" style="296" customWidth="1"/>
    <col min="22" max="22" width="9.7265625" style="305" customWidth="1"/>
    <col min="23" max="23" width="5.7265625" style="307" customWidth="1"/>
    <col min="24" max="24" width="9.7265625" style="305" customWidth="1"/>
    <col min="25" max="25" width="5.7265625" style="14" customWidth="1"/>
    <col min="26" max="26" width="9.7265625" style="363" customWidth="1"/>
    <col min="27" max="27" width="5.7265625" style="364" customWidth="1"/>
    <col min="28" max="28" width="9.7265625" style="363" customWidth="1"/>
    <col min="29" max="29" width="8.7265625" style="305" customWidth="1"/>
    <col min="30" max="30" width="5" style="305" customWidth="1"/>
    <col min="31" max="31" width="9.7265625" style="296" customWidth="1"/>
    <col min="32" max="32" width="6.7265625" style="14" customWidth="1"/>
    <col min="33" max="33" width="8.7265625" style="14" customWidth="1"/>
    <col min="34" max="34" width="6.54296875" style="296" customWidth="1"/>
    <col min="35" max="38" width="8.7265625" style="296" customWidth="1"/>
    <col min="39" max="39" width="10.7265625" style="305" customWidth="1"/>
    <col min="40" max="40" width="9.7265625" style="305" customWidth="1"/>
    <col min="41" max="41" width="10.81640625" style="296" bestFit="1" customWidth="1"/>
    <col min="42" max="16384" width="9.1796875" style="296"/>
  </cols>
  <sheetData>
    <row r="1" spans="1:41" s="247" customFormat="1" ht="15.5" x14ac:dyDescent="0.35">
      <c r="A1" s="248"/>
      <c r="B1" s="249"/>
      <c r="C1" s="248"/>
      <c r="D1" s="248"/>
      <c r="E1" s="250"/>
      <c r="F1" s="299"/>
      <c r="G1" s="340"/>
      <c r="H1" s="251"/>
      <c r="I1" s="252"/>
      <c r="J1" s="297"/>
      <c r="K1" s="2"/>
      <c r="L1" s="28"/>
      <c r="M1" s="28"/>
      <c r="N1" s="28"/>
      <c r="O1" s="28"/>
      <c r="P1" s="28"/>
      <c r="Q1" s="294"/>
      <c r="S1" s="248"/>
      <c r="T1" s="248"/>
      <c r="U1" s="248"/>
      <c r="V1" s="248"/>
      <c r="W1" s="297"/>
      <c r="X1" s="248"/>
      <c r="Y1" s="359"/>
      <c r="Z1" s="359"/>
      <c r="AA1" s="340"/>
      <c r="AB1" s="359"/>
      <c r="AC1" s="248"/>
      <c r="AD1" s="248"/>
      <c r="AE1" s="248"/>
      <c r="AF1" s="5"/>
      <c r="AG1" s="397"/>
      <c r="AH1" s="452" t="s">
        <v>767</v>
      </c>
      <c r="AI1" s="452"/>
      <c r="AJ1" s="452"/>
      <c r="AK1" s="452"/>
      <c r="AL1" s="452"/>
      <c r="AM1" s="452"/>
      <c r="AN1" s="253"/>
      <c r="AO1" s="254"/>
    </row>
    <row r="2" spans="1:41" s="247" customFormat="1" ht="19.5" customHeight="1" x14ac:dyDescent="0.35">
      <c r="A2" s="248"/>
      <c r="B2" s="451"/>
      <c r="C2" s="451"/>
      <c r="D2" s="451"/>
      <c r="E2" s="451"/>
      <c r="F2" s="300" t="s">
        <v>589</v>
      </c>
      <c r="G2" s="387" t="s">
        <v>15</v>
      </c>
      <c r="H2" s="301" t="s">
        <v>16</v>
      </c>
      <c r="I2" s="257" t="s">
        <v>17</v>
      </c>
      <c r="K2" s="2"/>
      <c r="L2" s="28"/>
      <c r="M2" s="28"/>
      <c r="N2" s="28"/>
      <c r="O2" s="28"/>
      <c r="P2" s="28"/>
      <c r="Q2" s="294"/>
      <c r="S2" s="248"/>
      <c r="T2" s="248"/>
      <c r="U2" s="249"/>
      <c r="V2" s="249"/>
      <c r="W2" s="249"/>
      <c r="X2" s="249"/>
      <c r="Y2" s="5"/>
      <c r="Z2" s="5"/>
      <c r="AA2" s="5"/>
      <c r="AB2" s="5"/>
      <c r="AC2" s="249"/>
      <c r="AD2" s="249"/>
      <c r="AE2" s="249"/>
      <c r="AF2" s="5"/>
      <c r="AG2" s="389"/>
      <c r="AH2" s="452"/>
      <c r="AI2" s="452"/>
      <c r="AJ2" s="452"/>
      <c r="AK2" s="452"/>
      <c r="AL2" s="452"/>
      <c r="AM2" s="452"/>
      <c r="AN2" s="253"/>
      <c r="AO2" s="254"/>
    </row>
    <row r="3" spans="1:41" s="247" customFormat="1" ht="14.25" customHeight="1" x14ac:dyDescent="0.35">
      <c r="A3" s="248"/>
      <c r="B3" s="447" t="s">
        <v>18</v>
      </c>
      <c r="C3" s="447"/>
      <c r="D3" s="447"/>
      <c r="E3" s="447"/>
      <c r="F3" s="300"/>
      <c r="G3" s="378"/>
      <c r="H3" s="240"/>
      <c r="I3" s="258"/>
      <c r="K3" s="2"/>
      <c r="L3" s="28"/>
      <c r="M3" s="28"/>
      <c r="N3" s="28"/>
      <c r="O3" s="28"/>
      <c r="P3" s="28"/>
      <c r="Q3" s="294"/>
      <c r="S3" s="248"/>
      <c r="T3" s="248"/>
      <c r="U3" s="249"/>
      <c r="V3" s="249"/>
      <c r="W3" s="249"/>
      <c r="X3" s="249"/>
      <c r="Y3" s="5"/>
      <c r="Z3" s="5"/>
      <c r="AA3" s="5"/>
      <c r="AB3" s="5"/>
      <c r="AC3" s="249"/>
      <c r="AD3" s="249"/>
      <c r="AE3" s="249"/>
      <c r="AF3" s="5"/>
      <c r="AG3" s="398"/>
      <c r="AH3" s="452"/>
      <c r="AI3" s="452"/>
      <c r="AJ3" s="452"/>
      <c r="AK3" s="452"/>
      <c r="AL3" s="452"/>
      <c r="AM3" s="452"/>
      <c r="AN3" s="253"/>
      <c r="AO3" s="254"/>
    </row>
    <row r="4" spans="1:41" s="247" customFormat="1" ht="14.25" customHeight="1" x14ac:dyDescent="0.35">
      <c r="A4" s="248"/>
      <c r="B4" s="447" t="s">
        <v>742</v>
      </c>
      <c r="C4" s="447"/>
      <c r="D4" s="447"/>
      <c r="E4" s="447"/>
      <c r="F4" s="300">
        <v>325</v>
      </c>
      <c r="G4" s="387">
        <v>463</v>
      </c>
      <c r="H4" s="301">
        <v>100</v>
      </c>
      <c r="I4" s="258">
        <f t="shared" ref="I4:I8" si="0">F4+G4+H4</f>
        <v>888</v>
      </c>
      <c r="K4" s="2"/>
      <c r="L4" s="28"/>
      <c r="M4" s="28"/>
      <c r="N4" s="28"/>
      <c r="O4" s="28"/>
      <c r="P4" s="28"/>
      <c r="Q4" s="294"/>
      <c r="S4" s="259"/>
      <c r="T4" s="259"/>
      <c r="U4" s="249"/>
      <c r="V4" s="249"/>
      <c r="W4" s="249"/>
      <c r="X4" s="249"/>
      <c r="Y4" s="5"/>
      <c r="Z4" s="5"/>
      <c r="AA4" s="5"/>
      <c r="AB4" s="5"/>
      <c r="AC4" s="249"/>
      <c r="AD4" s="249"/>
      <c r="AE4" s="249"/>
      <c r="AF4" s="5"/>
      <c r="AG4" s="5"/>
      <c r="AH4" s="452"/>
      <c r="AI4" s="452"/>
      <c r="AJ4" s="452"/>
      <c r="AK4" s="452"/>
      <c r="AL4" s="452"/>
      <c r="AM4" s="452"/>
      <c r="AN4" s="260"/>
      <c r="AO4" s="261"/>
    </row>
    <row r="5" spans="1:41" s="247" customFormat="1" ht="14.25" customHeight="1" x14ac:dyDescent="0.35">
      <c r="A5" s="297"/>
      <c r="B5" s="447" t="s">
        <v>743</v>
      </c>
      <c r="C5" s="447"/>
      <c r="D5" s="447"/>
      <c r="E5" s="447"/>
      <c r="F5" s="300">
        <v>14</v>
      </c>
      <c r="G5" s="387">
        <v>18</v>
      </c>
      <c r="H5" s="301">
        <v>5</v>
      </c>
      <c r="I5" s="258">
        <f t="shared" si="0"/>
        <v>37</v>
      </c>
      <c r="K5" s="2"/>
      <c r="L5" s="28"/>
      <c r="M5" s="28"/>
      <c r="N5" s="28"/>
      <c r="O5" s="28"/>
      <c r="P5" s="28"/>
      <c r="Q5" s="294"/>
      <c r="S5" s="262"/>
      <c r="T5" s="262"/>
      <c r="U5" s="249"/>
      <c r="V5" s="249"/>
      <c r="W5" s="249"/>
      <c r="X5" s="249"/>
      <c r="Y5" s="5"/>
      <c r="Z5" s="5"/>
      <c r="AA5" s="5"/>
      <c r="AB5" s="5"/>
      <c r="AC5" s="249"/>
      <c r="AD5" s="249"/>
      <c r="AE5" s="249"/>
      <c r="AF5" s="5"/>
      <c r="AG5" s="5"/>
      <c r="AH5" s="452"/>
      <c r="AI5" s="452"/>
      <c r="AJ5" s="452"/>
      <c r="AK5" s="452"/>
      <c r="AL5" s="452"/>
      <c r="AM5" s="452"/>
      <c r="AN5" s="263"/>
    </row>
    <row r="6" spans="1:41" s="247" customFormat="1" ht="14.25" customHeight="1" x14ac:dyDescent="0.35">
      <c r="A6" s="297"/>
      <c r="B6" s="447" t="s">
        <v>744</v>
      </c>
      <c r="C6" s="447"/>
      <c r="D6" s="447"/>
      <c r="E6" s="447"/>
      <c r="F6" s="300">
        <v>14</v>
      </c>
      <c r="G6" s="387">
        <v>18</v>
      </c>
      <c r="H6" s="301">
        <v>5</v>
      </c>
      <c r="I6" s="258">
        <f t="shared" si="0"/>
        <v>37</v>
      </c>
      <c r="K6" s="2"/>
      <c r="L6" s="28"/>
      <c r="M6" s="28"/>
      <c r="N6" s="28"/>
      <c r="O6" s="28"/>
      <c r="P6" s="28"/>
      <c r="Q6" s="294"/>
      <c r="S6" s="264"/>
      <c r="T6" s="262"/>
      <c r="U6" s="249"/>
      <c r="V6" s="249"/>
      <c r="W6" s="249"/>
      <c r="X6" s="249"/>
      <c r="Y6" s="5"/>
      <c r="Z6" s="5"/>
      <c r="AA6" s="5"/>
      <c r="AB6" s="5"/>
      <c r="AC6" s="249"/>
      <c r="AD6" s="249"/>
      <c r="AE6" s="249"/>
      <c r="AF6" s="5"/>
      <c r="AG6" s="5"/>
      <c r="AH6" s="452"/>
      <c r="AI6" s="452"/>
      <c r="AJ6" s="452"/>
      <c r="AK6" s="452"/>
      <c r="AL6" s="452"/>
      <c r="AM6" s="452"/>
      <c r="AN6" s="263"/>
    </row>
    <row r="7" spans="1:41" s="247" customFormat="1" ht="14.25" customHeight="1" x14ac:dyDescent="0.35">
      <c r="A7" s="297"/>
      <c r="B7" s="447" t="s">
        <v>19</v>
      </c>
      <c r="C7" s="447"/>
      <c r="D7" s="447"/>
      <c r="E7" s="447"/>
      <c r="F7" s="300">
        <v>476</v>
      </c>
      <c r="G7" s="378">
        <v>754.5</v>
      </c>
      <c r="H7" s="240">
        <v>206</v>
      </c>
      <c r="I7" s="265">
        <f t="shared" si="0"/>
        <v>1436.5</v>
      </c>
      <c r="J7" s="264"/>
      <c r="K7" s="339"/>
      <c r="L7" s="339"/>
      <c r="M7" s="339"/>
      <c r="N7" s="339"/>
      <c r="O7" s="339"/>
      <c r="P7" s="339"/>
      <c r="Q7" s="264"/>
      <c r="R7" s="264"/>
      <c r="S7" s="264"/>
      <c r="T7" s="262"/>
      <c r="U7" s="249"/>
      <c r="V7" s="249"/>
      <c r="W7" s="249"/>
      <c r="X7" s="249"/>
      <c r="Y7" s="5"/>
      <c r="Z7" s="5"/>
      <c r="AA7" s="5"/>
      <c r="AB7" s="5"/>
      <c r="AC7" s="249"/>
      <c r="AD7" s="249"/>
      <c r="AE7" s="249"/>
      <c r="AF7" s="5"/>
      <c r="AG7" s="5"/>
      <c r="AH7" s="452"/>
      <c r="AI7" s="452"/>
      <c r="AJ7" s="452"/>
      <c r="AK7" s="452"/>
      <c r="AL7" s="452"/>
      <c r="AM7" s="452"/>
      <c r="AN7" s="263"/>
    </row>
    <row r="8" spans="1:41" s="247" customFormat="1" ht="14.25" customHeight="1" x14ac:dyDescent="0.35">
      <c r="A8" s="297"/>
      <c r="B8" s="447" t="s">
        <v>20</v>
      </c>
      <c r="C8" s="447"/>
      <c r="D8" s="447"/>
      <c r="E8" s="447"/>
      <c r="F8" s="300">
        <f>F7</f>
        <v>476</v>
      </c>
      <c r="G8" s="378">
        <v>754.5</v>
      </c>
      <c r="H8" s="301">
        <f>H7</f>
        <v>206</v>
      </c>
      <c r="I8" s="265">
        <f t="shared" si="0"/>
        <v>1436.5</v>
      </c>
      <c r="J8" s="264"/>
      <c r="K8" s="339"/>
      <c r="L8" s="339"/>
      <c r="M8" s="339"/>
      <c r="N8" s="339"/>
      <c r="O8" s="339"/>
      <c r="P8" s="339"/>
      <c r="Q8" s="264"/>
      <c r="R8" s="264"/>
      <c r="S8" s="264"/>
      <c r="T8" s="297"/>
      <c r="U8" s="249"/>
      <c r="V8" s="249"/>
      <c r="W8" s="249"/>
      <c r="X8" s="249"/>
      <c r="Y8" s="5"/>
      <c r="Z8" s="5"/>
      <c r="AA8" s="5"/>
      <c r="AB8" s="5"/>
      <c r="AC8" s="249"/>
      <c r="AD8" s="249"/>
      <c r="AE8" s="249"/>
      <c r="AF8" s="5"/>
      <c r="AG8" s="5"/>
      <c r="AH8" s="452"/>
      <c r="AI8" s="452"/>
      <c r="AJ8" s="452"/>
      <c r="AK8" s="452"/>
      <c r="AL8" s="452"/>
      <c r="AM8" s="452"/>
      <c r="AN8" s="263"/>
    </row>
    <row r="9" spans="1:41" s="247" customFormat="1" ht="19.5" customHeight="1" x14ac:dyDescent="0.35">
      <c r="A9" s="297"/>
      <c r="B9" s="447" t="s">
        <v>21</v>
      </c>
      <c r="C9" s="447"/>
      <c r="D9" s="447"/>
      <c r="E9" s="447"/>
      <c r="F9" s="300">
        <f>F7</f>
        <v>476</v>
      </c>
      <c r="G9" s="378">
        <v>754.5</v>
      </c>
      <c r="H9" s="300">
        <f>H7</f>
        <v>206</v>
      </c>
      <c r="I9" s="265">
        <f>F9+G9+H9</f>
        <v>1436.5</v>
      </c>
      <c r="J9" s="264"/>
      <c r="K9" s="339"/>
      <c r="L9" s="339"/>
      <c r="M9" s="339"/>
      <c r="N9" s="339"/>
      <c r="O9" s="339"/>
      <c r="P9" s="339"/>
      <c r="Q9" s="264"/>
      <c r="R9" s="264"/>
      <c r="S9" s="264"/>
      <c r="T9" s="297"/>
      <c r="U9" s="249"/>
      <c r="V9" s="249"/>
      <c r="W9" s="249"/>
      <c r="X9" s="249"/>
      <c r="Y9" s="5"/>
      <c r="Z9" s="5"/>
      <c r="AA9" s="5"/>
      <c r="AB9" s="5"/>
      <c r="AC9" s="249"/>
      <c r="AD9" s="249"/>
      <c r="AE9" s="249"/>
      <c r="AF9" s="399"/>
      <c r="AG9" s="400"/>
      <c r="AH9" s="249"/>
      <c r="AI9" s="249"/>
      <c r="AJ9" s="249"/>
      <c r="AK9" s="249"/>
      <c r="AL9" s="266"/>
      <c r="AM9" s="263"/>
      <c r="AN9" s="263"/>
    </row>
    <row r="10" spans="1:41" s="247" customFormat="1" ht="17.25" customHeight="1" x14ac:dyDescent="0.35">
      <c r="A10" s="297"/>
      <c r="G10" s="2"/>
      <c r="H10" s="251"/>
      <c r="I10" s="250"/>
      <c r="J10" s="297"/>
      <c r="K10" s="359"/>
      <c r="L10" s="340"/>
      <c r="M10" s="340"/>
      <c r="N10" s="340"/>
      <c r="O10" s="340"/>
      <c r="P10" s="340"/>
      <c r="Q10" s="297"/>
      <c r="R10" s="248"/>
      <c r="S10" s="248"/>
      <c r="T10" s="248"/>
      <c r="U10" s="249"/>
      <c r="V10" s="249"/>
      <c r="W10" s="249"/>
      <c r="X10" s="249"/>
      <c r="Y10" s="5"/>
      <c r="Z10" s="5"/>
      <c r="AA10" s="5"/>
      <c r="AB10" s="5"/>
      <c r="AC10" s="249"/>
      <c r="AD10" s="249"/>
      <c r="AE10" s="249"/>
      <c r="AF10" s="401"/>
      <c r="AG10" s="401"/>
      <c r="AH10" s="267"/>
      <c r="AI10" s="267"/>
      <c r="AJ10" s="267"/>
      <c r="AK10" s="267"/>
      <c r="AL10" s="267"/>
      <c r="AM10" s="263"/>
      <c r="AN10" s="263"/>
    </row>
    <row r="11" spans="1:41" s="247" customFormat="1" ht="17.25" customHeight="1" x14ac:dyDescent="0.35">
      <c r="A11" s="297"/>
      <c r="B11" s="268"/>
      <c r="C11" s="248"/>
      <c r="D11" s="268"/>
      <c r="E11" s="269"/>
      <c r="F11" s="270"/>
      <c r="G11" s="389"/>
      <c r="H11" s="251"/>
      <c r="I11" s="250"/>
      <c r="J11" s="297"/>
      <c r="K11" s="359"/>
      <c r="L11" s="340"/>
      <c r="M11" s="340"/>
      <c r="N11" s="340"/>
      <c r="O11" s="340"/>
      <c r="P11" s="340"/>
      <c r="Q11" s="297"/>
      <c r="R11" s="248"/>
      <c r="S11" s="248"/>
      <c r="T11" s="248"/>
      <c r="U11" s="249"/>
      <c r="V11" s="249"/>
      <c r="W11" s="249"/>
      <c r="X11" s="249"/>
      <c r="Y11" s="5"/>
      <c r="Z11" s="5"/>
      <c r="AA11" s="5"/>
      <c r="AB11" s="5"/>
      <c r="AC11" s="249"/>
      <c r="AD11" s="249"/>
      <c r="AE11" s="249"/>
      <c r="AF11" s="401"/>
      <c r="AG11" s="401"/>
      <c r="AH11" s="267"/>
      <c r="AI11" s="267"/>
      <c r="AJ11" s="267"/>
      <c r="AK11" s="267"/>
      <c r="AL11" s="267"/>
      <c r="AM11" s="263"/>
      <c r="AN11" s="263"/>
    </row>
    <row r="12" spans="1:41" s="247" customFormat="1" ht="32.25" customHeight="1" x14ac:dyDescent="0.2">
      <c r="A12" s="456" t="s">
        <v>766</v>
      </c>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row>
    <row r="13" spans="1:41" s="247" customFormat="1" ht="17.25" customHeight="1" x14ac:dyDescent="0.35">
      <c r="A13" s="297"/>
      <c r="B13" s="268"/>
      <c r="C13" s="248"/>
      <c r="D13" s="268"/>
      <c r="E13" s="269"/>
      <c r="F13" s="270"/>
      <c r="G13" s="389"/>
      <c r="H13" s="251"/>
      <c r="I13" s="250"/>
      <c r="J13" s="297"/>
      <c r="K13" s="359"/>
      <c r="L13" s="340"/>
      <c r="M13" s="340"/>
      <c r="N13" s="340"/>
      <c r="O13" s="340"/>
      <c r="P13" s="340"/>
      <c r="Q13" s="297"/>
      <c r="R13" s="248"/>
      <c r="S13" s="248"/>
      <c r="T13" s="248"/>
      <c r="U13" s="249"/>
      <c r="V13" s="249"/>
      <c r="W13" s="249"/>
      <c r="X13" s="249"/>
      <c r="Y13" s="5"/>
      <c r="Z13" s="5"/>
      <c r="AA13" s="5"/>
      <c r="AB13" s="5"/>
      <c r="AC13" s="249"/>
      <c r="AD13" s="249"/>
      <c r="AE13" s="249"/>
      <c r="AF13" s="401"/>
      <c r="AG13" s="401"/>
      <c r="AH13" s="267"/>
      <c r="AI13" s="267"/>
      <c r="AJ13" s="267"/>
      <c r="AK13" s="267"/>
      <c r="AL13" s="267"/>
      <c r="AM13" s="263"/>
      <c r="AN13" s="263"/>
    </row>
    <row r="14" spans="1:41" s="247" customFormat="1" ht="14.25" customHeight="1" x14ac:dyDescent="0.35">
      <c r="A14" s="271"/>
      <c r="B14" s="148"/>
      <c r="C14" s="148"/>
      <c r="D14" s="271"/>
      <c r="E14" s="271"/>
      <c r="F14" s="272"/>
      <c r="G14" s="29"/>
      <c r="H14" s="273"/>
      <c r="I14" s="271"/>
      <c r="J14" s="273"/>
      <c r="K14" s="29"/>
      <c r="L14" s="29"/>
      <c r="M14" s="341"/>
      <c r="N14" s="29"/>
      <c r="O14" s="342"/>
      <c r="P14" s="29"/>
      <c r="Q14" s="274"/>
      <c r="R14" s="271"/>
      <c r="S14" s="273"/>
      <c r="T14" s="271"/>
      <c r="U14" s="271"/>
      <c r="V14" s="273"/>
      <c r="W14" s="275"/>
      <c r="X14" s="273"/>
      <c r="Y14" s="29"/>
      <c r="Z14" s="341"/>
      <c r="AA14" s="360"/>
      <c r="AB14" s="341"/>
      <c r="AC14" s="273"/>
      <c r="AD14" s="273"/>
      <c r="AE14" s="271"/>
      <c r="AF14" s="458"/>
      <c r="AG14" s="458"/>
      <c r="AH14" s="458"/>
      <c r="AI14" s="458"/>
      <c r="AJ14" s="458"/>
      <c r="AK14" s="458"/>
      <c r="AL14" s="458"/>
      <c r="AM14" s="458"/>
      <c r="AN14" s="263"/>
    </row>
    <row r="15" spans="1:41" s="276" customFormat="1" ht="30.75" customHeight="1" x14ac:dyDescent="0.25">
      <c r="A15" s="459" t="s">
        <v>22</v>
      </c>
      <c r="B15" s="459" t="s">
        <v>23</v>
      </c>
      <c r="C15" s="460" t="s">
        <v>24</v>
      </c>
      <c r="D15" s="455" t="s">
        <v>25</v>
      </c>
      <c r="E15" s="455" t="s">
        <v>35</v>
      </c>
      <c r="F15" s="480" t="s">
        <v>26</v>
      </c>
      <c r="G15" s="481" t="s">
        <v>27</v>
      </c>
      <c r="H15" s="446" t="s">
        <v>53</v>
      </c>
      <c r="I15" s="470" t="s">
        <v>57</v>
      </c>
      <c r="J15" s="446" t="s">
        <v>58</v>
      </c>
      <c r="K15" s="466" t="s">
        <v>28</v>
      </c>
      <c r="L15" s="485" t="s">
        <v>29</v>
      </c>
      <c r="M15" s="486"/>
      <c r="N15" s="486"/>
      <c r="O15" s="486"/>
      <c r="P15" s="486"/>
      <c r="Q15" s="487"/>
      <c r="R15" s="470" t="s">
        <v>60</v>
      </c>
      <c r="S15" s="473" t="s">
        <v>42</v>
      </c>
      <c r="T15" s="476">
        <v>0.1</v>
      </c>
      <c r="U15" s="477" t="s">
        <v>590</v>
      </c>
      <c r="V15" s="478"/>
      <c r="W15" s="478"/>
      <c r="X15" s="479"/>
      <c r="Y15" s="482" t="s">
        <v>592</v>
      </c>
      <c r="Z15" s="482"/>
      <c r="AA15" s="482"/>
      <c r="AB15" s="462"/>
      <c r="AC15" s="446" t="s">
        <v>593</v>
      </c>
      <c r="AD15" s="446" t="s">
        <v>594</v>
      </c>
      <c r="AE15" s="454" t="s">
        <v>65</v>
      </c>
      <c r="AF15" s="461" t="s">
        <v>741</v>
      </c>
      <c r="AG15" s="462"/>
      <c r="AH15" s="448" t="s">
        <v>610</v>
      </c>
      <c r="AI15" s="465" t="s">
        <v>44</v>
      </c>
      <c r="AJ15" s="465"/>
      <c r="AK15" s="465"/>
      <c r="AL15" s="465"/>
      <c r="AM15" s="446" t="s">
        <v>66</v>
      </c>
      <c r="AN15" s="446" t="s">
        <v>67</v>
      </c>
    </row>
    <row r="16" spans="1:41" s="276" customFormat="1" ht="84.75" customHeight="1" x14ac:dyDescent="0.25">
      <c r="A16" s="459"/>
      <c r="B16" s="459"/>
      <c r="C16" s="460"/>
      <c r="D16" s="455"/>
      <c r="E16" s="455"/>
      <c r="F16" s="480"/>
      <c r="G16" s="481"/>
      <c r="H16" s="446"/>
      <c r="I16" s="471"/>
      <c r="J16" s="446"/>
      <c r="K16" s="466"/>
      <c r="L16" s="488"/>
      <c r="M16" s="489"/>
      <c r="N16" s="489"/>
      <c r="O16" s="489"/>
      <c r="P16" s="489"/>
      <c r="Q16" s="490"/>
      <c r="R16" s="471"/>
      <c r="S16" s="474"/>
      <c r="T16" s="476"/>
      <c r="U16" s="491" t="s">
        <v>501</v>
      </c>
      <c r="V16" s="492"/>
      <c r="W16" s="491" t="s">
        <v>591</v>
      </c>
      <c r="X16" s="492"/>
      <c r="Y16" s="483"/>
      <c r="Z16" s="483"/>
      <c r="AA16" s="483"/>
      <c r="AB16" s="484"/>
      <c r="AC16" s="446"/>
      <c r="AD16" s="446"/>
      <c r="AE16" s="454"/>
      <c r="AF16" s="463"/>
      <c r="AG16" s="464"/>
      <c r="AH16" s="449"/>
      <c r="AI16" s="446" t="s">
        <v>45</v>
      </c>
      <c r="AJ16" s="446" t="s">
        <v>46</v>
      </c>
      <c r="AK16" s="446" t="s">
        <v>49</v>
      </c>
      <c r="AL16" s="446" t="s">
        <v>47</v>
      </c>
      <c r="AM16" s="446"/>
      <c r="AN16" s="446"/>
    </row>
    <row r="17" spans="1:41" s="276" customFormat="1" ht="128.25" customHeight="1" x14ac:dyDescent="0.25">
      <c r="A17" s="459"/>
      <c r="B17" s="459"/>
      <c r="C17" s="460"/>
      <c r="D17" s="455"/>
      <c r="E17" s="455"/>
      <c r="F17" s="480"/>
      <c r="G17" s="481"/>
      <c r="H17" s="446"/>
      <c r="I17" s="472"/>
      <c r="J17" s="446"/>
      <c r="K17" s="466"/>
      <c r="L17" s="377" t="s">
        <v>588</v>
      </c>
      <c r="M17" s="343" t="s">
        <v>595</v>
      </c>
      <c r="N17" s="377" t="s">
        <v>586</v>
      </c>
      <c r="O17" s="343" t="s">
        <v>595</v>
      </c>
      <c r="P17" s="377" t="s">
        <v>587</v>
      </c>
      <c r="Q17" s="277" t="s">
        <v>595</v>
      </c>
      <c r="R17" s="472"/>
      <c r="S17" s="475"/>
      <c r="T17" s="459"/>
      <c r="U17" s="302" t="s">
        <v>61</v>
      </c>
      <c r="V17" s="278" t="s">
        <v>595</v>
      </c>
      <c r="W17" s="302" t="s">
        <v>61</v>
      </c>
      <c r="X17" s="278" t="s">
        <v>595</v>
      </c>
      <c r="Y17" s="361" t="s">
        <v>61</v>
      </c>
      <c r="Z17" s="362" t="s">
        <v>595</v>
      </c>
      <c r="AA17" s="361" t="s">
        <v>61</v>
      </c>
      <c r="AB17" s="362" t="s">
        <v>595</v>
      </c>
      <c r="AC17" s="446"/>
      <c r="AD17" s="446"/>
      <c r="AE17" s="455"/>
      <c r="AF17" s="377" t="s">
        <v>596</v>
      </c>
      <c r="AG17" s="362" t="s">
        <v>595</v>
      </c>
      <c r="AH17" s="450"/>
      <c r="AI17" s="446"/>
      <c r="AJ17" s="446"/>
      <c r="AK17" s="446"/>
      <c r="AL17" s="446"/>
      <c r="AM17" s="446"/>
      <c r="AN17" s="446"/>
    </row>
    <row r="18" spans="1:41" s="247" customFormat="1" ht="30" customHeight="1" x14ac:dyDescent="0.2">
      <c r="A18" s="304">
        <v>1</v>
      </c>
      <c r="B18" s="326"/>
      <c r="C18" s="330" t="s">
        <v>642</v>
      </c>
      <c r="D18" s="331" t="s">
        <v>37</v>
      </c>
      <c r="E18" s="332" t="s">
        <v>643</v>
      </c>
      <c r="F18" s="333">
        <v>20.010000000000002</v>
      </c>
      <c r="G18" s="334">
        <v>5.32</v>
      </c>
      <c r="H18" s="257">
        <v>17697</v>
      </c>
      <c r="I18" s="257">
        <v>2</v>
      </c>
      <c r="J18" s="303">
        <f t="shared" ref="J18" si="1">G18*H18*I18</f>
        <v>188296.08000000002</v>
      </c>
      <c r="K18" s="337">
        <f t="shared" ref="K18" si="2">L18+N18+P18</f>
        <v>8</v>
      </c>
      <c r="L18" s="387"/>
      <c r="M18" s="338"/>
      <c r="N18" s="378">
        <v>8</v>
      </c>
      <c r="O18" s="338">
        <f>N18*J18/16</f>
        <v>94148.040000000008</v>
      </c>
      <c r="P18" s="378"/>
      <c r="Q18" s="303"/>
      <c r="R18" s="303">
        <f t="shared" ref="R18" si="3">(M18+O18+Q18)/4</f>
        <v>23537.010000000002</v>
      </c>
      <c r="S18" s="303">
        <f t="shared" ref="S18" si="4">M18+O18+Q18+R18</f>
        <v>117685.05000000002</v>
      </c>
      <c r="T18" s="303">
        <f t="shared" ref="T18" si="5">S18*0.1</f>
        <v>11768.505000000003</v>
      </c>
      <c r="U18" s="303"/>
      <c r="V18" s="303"/>
      <c r="W18" s="303"/>
      <c r="X18" s="303"/>
      <c r="Y18" s="338"/>
      <c r="Z18" s="338"/>
      <c r="AA18" s="338">
        <v>50</v>
      </c>
      <c r="AB18" s="338">
        <f>(K18*17697*50%)/16</f>
        <v>4424.25</v>
      </c>
      <c r="AC18" s="303"/>
      <c r="AD18" s="303"/>
      <c r="AE18" s="303">
        <f>(J18*K18/16*1.25*0.3)</f>
        <v>35305.515000000007</v>
      </c>
      <c r="AF18" s="338"/>
      <c r="AG18" s="338"/>
      <c r="AH18" s="303"/>
      <c r="AI18" s="303"/>
      <c r="AJ18" s="303"/>
      <c r="AK18" s="303">
        <f>S18*0.4</f>
        <v>47074.020000000011</v>
      </c>
      <c r="AL18" s="303"/>
      <c r="AM18" s="303">
        <f t="shared" ref="AM18" si="6">S18+T18+V18+X18+Z18+AB18+AC18+AD18+AE18+AG18+AH18+AI18+AJ18+AK18+AL18</f>
        <v>216257.34000000005</v>
      </c>
      <c r="AN18" s="303">
        <f t="shared" ref="AN18" si="7">AM18*12/1000</f>
        <v>2595.0880800000004</v>
      </c>
      <c r="AO18" s="246"/>
    </row>
    <row r="19" spans="1:41" s="247" customFormat="1" ht="30" customHeight="1" x14ac:dyDescent="0.2">
      <c r="A19" s="304">
        <v>2</v>
      </c>
      <c r="B19" s="326"/>
      <c r="C19" s="330" t="s">
        <v>646</v>
      </c>
      <c r="D19" s="331" t="s">
        <v>37</v>
      </c>
      <c r="E19" s="332" t="s">
        <v>644</v>
      </c>
      <c r="F19" s="333">
        <v>28.11</v>
      </c>
      <c r="G19" s="334">
        <v>5.16</v>
      </c>
      <c r="H19" s="257">
        <v>17697</v>
      </c>
      <c r="I19" s="257">
        <v>2</v>
      </c>
      <c r="J19" s="303">
        <f t="shared" ref="J19:J82" si="8">G19*H19*I19</f>
        <v>182633.04</v>
      </c>
      <c r="K19" s="337">
        <f t="shared" ref="K19:K82" si="9">L19+N19+P19</f>
        <v>8</v>
      </c>
      <c r="L19" s="387">
        <v>8</v>
      </c>
      <c r="M19" s="338">
        <f>L19*J19/16</f>
        <v>91316.52</v>
      </c>
      <c r="N19" s="378"/>
      <c r="O19" s="338"/>
      <c r="P19" s="378"/>
      <c r="Q19" s="303"/>
      <c r="R19" s="303">
        <f t="shared" ref="R19:R82" si="10">(M19+O19+Q19)/4</f>
        <v>22829.13</v>
      </c>
      <c r="S19" s="303">
        <f t="shared" ref="S19:S82" si="11">M19+O19+Q19+R19</f>
        <v>114145.65000000001</v>
      </c>
      <c r="T19" s="303">
        <f t="shared" ref="T19:T82" si="12">S19*0.1</f>
        <v>11414.565000000002</v>
      </c>
      <c r="U19" s="303"/>
      <c r="V19" s="303"/>
      <c r="W19" s="303"/>
      <c r="X19" s="303"/>
      <c r="Y19" s="338"/>
      <c r="Z19" s="338"/>
      <c r="AA19" s="338"/>
      <c r="AB19" s="338"/>
      <c r="AC19" s="303"/>
      <c r="AD19" s="303"/>
      <c r="AE19" s="303">
        <f t="shared" ref="AE19:AE82" si="13">(J19*K19/16*1.25*0.3)</f>
        <v>34243.695</v>
      </c>
      <c r="AF19" s="338"/>
      <c r="AG19" s="338"/>
      <c r="AH19" s="303"/>
      <c r="AI19" s="303">
        <f>S19*0.3</f>
        <v>34243.695</v>
      </c>
      <c r="AJ19" s="303"/>
      <c r="AK19" s="303"/>
      <c r="AL19" s="303"/>
      <c r="AM19" s="303">
        <f t="shared" ref="AM19:AM82" si="14">S19+T19+V19+X19+Z19+AB19+AC19+AD19+AE19+AG19+AH19+AI19+AJ19+AK19+AL19</f>
        <v>194047.60500000001</v>
      </c>
      <c r="AN19" s="303">
        <f t="shared" ref="AN19:AN82" si="15">AM19*12/1000</f>
        <v>2328.5712600000002</v>
      </c>
      <c r="AO19" s="246"/>
    </row>
    <row r="20" spans="1:41" s="247" customFormat="1" ht="30" customHeight="1" x14ac:dyDescent="0.2">
      <c r="A20" s="304">
        <v>3</v>
      </c>
      <c r="B20" s="402"/>
      <c r="C20" s="330" t="s">
        <v>645</v>
      </c>
      <c r="D20" s="331" t="s">
        <v>37</v>
      </c>
      <c r="E20" s="332" t="s">
        <v>644</v>
      </c>
      <c r="F20" s="333">
        <v>14.01</v>
      </c>
      <c r="G20" s="334">
        <v>4.9000000000000004</v>
      </c>
      <c r="H20" s="257">
        <v>17697</v>
      </c>
      <c r="I20" s="257">
        <v>2</v>
      </c>
      <c r="J20" s="303">
        <f t="shared" si="8"/>
        <v>173430.6</v>
      </c>
      <c r="K20" s="337">
        <f t="shared" si="9"/>
        <v>17</v>
      </c>
      <c r="L20" s="388"/>
      <c r="M20" s="338"/>
      <c r="N20" s="379">
        <v>10</v>
      </c>
      <c r="O20" s="338">
        <f t="shared" ref="O20:O84" si="16">N20*J20/16</f>
        <v>108394.125</v>
      </c>
      <c r="P20" s="379">
        <v>7</v>
      </c>
      <c r="Q20" s="303">
        <f t="shared" ref="Q20:Q58" si="17">P20*J20/16</f>
        <v>75875.887499999997</v>
      </c>
      <c r="R20" s="303">
        <f t="shared" si="10"/>
        <v>46067.503125000003</v>
      </c>
      <c r="S20" s="303">
        <f t="shared" si="11"/>
        <v>230337.515625</v>
      </c>
      <c r="T20" s="303">
        <f t="shared" si="12"/>
        <v>23033.751562500001</v>
      </c>
      <c r="U20" s="303"/>
      <c r="V20" s="303"/>
      <c r="W20" s="303">
        <v>60</v>
      </c>
      <c r="X20" s="303">
        <v>10618</v>
      </c>
      <c r="Y20" s="338"/>
      <c r="Z20" s="338"/>
      <c r="AA20" s="338"/>
      <c r="AB20" s="338"/>
      <c r="AC20" s="303"/>
      <c r="AD20" s="303"/>
      <c r="AE20" s="303">
        <f t="shared" si="13"/>
        <v>69101.254687499997</v>
      </c>
      <c r="AF20" s="338"/>
      <c r="AG20" s="338"/>
      <c r="AH20" s="303"/>
      <c r="AI20" s="303">
        <f>S20*0.3</f>
        <v>69101.254687499997</v>
      </c>
      <c r="AJ20" s="303"/>
      <c r="AK20" s="303"/>
      <c r="AL20" s="303"/>
      <c r="AM20" s="303">
        <f t="shared" si="14"/>
        <v>402191.77656250005</v>
      </c>
      <c r="AN20" s="303">
        <f t="shared" si="15"/>
        <v>4826.301318750001</v>
      </c>
      <c r="AO20" s="246"/>
    </row>
    <row r="21" spans="1:41" s="247" customFormat="1" ht="30" customHeight="1" x14ac:dyDescent="0.2">
      <c r="A21" s="304">
        <v>4</v>
      </c>
      <c r="B21" s="326"/>
      <c r="C21" s="330" t="s">
        <v>618</v>
      </c>
      <c r="D21" s="331" t="s">
        <v>37</v>
      </c>
      <c r="E21" s="332" t="s">
        <v>644</v>
      </c>
      <c r="F21" s="333">
        <v>7.08</v>
      </c>
      <c r="G21" s="334">
        <v>4.74</v>
      </c>
      <c r="H21" s="257">
        <v>17697</v>
      </c>
      <c r="I21" s="257">
        <v>2</v>
      </c>
      <c r="J21" s="303">
        <f t="shared" si="8"/>
        <v>167767.56</v>
      </c>
      <c r="K21" s="337">
        <f t="shared" si="9"/>
        <v>14</v>
      </c>
      <c r="L21" s="380"/>
      <c r="M21" s="338"/>
      <c r="N21" s="380">
        <v>6</v>
      </c>
      <c r="O21" s="338">
        <f t="shared" si="16"/>
        <v>62912.834999999999</v>
      </c>
      <c r="P21" s="380">
        <v>8</v>
      </c>
      <c r="Q21" s="303">
        <f t="shared" si="17"/>
        <v>83883.78</v>
      </c>
      <c r="R21" s="303">
        <f t="shared" si="10"/>
        <v>36699.153749999998</v>
      </c>
      <c r="S21" s="303">
        <f t="shared" si="11"/>
        <v>183495.76874999999</v>
      </c>
      <c r="T21" s="303">
        <f t="shared" si="12"/>
        <v>18349.576874999999</v>
      </c>
      <c r="U21" s="303"/>
      <c r="V21" s="303"/>
      <c r="W21" s="303"/>
      <c r="X21" s="303"/>
      <c r="Y21" s="338">
        <v>40</v>
      </c>
      <c r="Z21" s="338">
        <f>(K21*17697*40%)/16</f>
        <v>6193.9500000000007</v>
      </c>
      <c r="AA21" s="338"/>
      <c r="AB21" s="338"/>
      <c r="AC21" s="303"/>
      <c r="AD21" s="303"/>
      <c r="AE21" s="303">
        <f t="shared" si="13"/>
        <v>55048.730624999997</v>
      </c>
      <c r="AF21" s="338"/>
      <c r="AG21" s="338"/>
      <c r="AH21" s="303">
        <v>3539</v>
      </c>
      <c r="AI21" s="303">
        <f>S21*0.3</f>
        <v>55048.730624999997</v>
      </c>
      <c r="AJ21" s="303"/>
      <c r="AK21" s="303"/>
      <c r="AL21" s="303"/>
      <c r="AM21" s="303">
        <f t="shared" si="14"/>
        <v>321675.75687499996</v>
      </c>
      <c r="AN21" s="303">
        <f t="shared" si="15"/>
        <v>3860.1090824999997</v>
      </c>
      <c r="AO21" s="246"/>
    </row>
    <row r="22" spans="1:41" s="247" customFormat="1" ht="30" customHeight="1" x14ac:dyDescent="0.2">
      <c r="A22" s="304">
        <v>5</v>
      </c>
      <c r="B22" s="326"/>
      <c r="C22" s="330" t="s">
        <v>764</v>
      </c>
      <c r="D22" s="331" t="s">
        <v>37</v>
      </c>
      <c r="E22" s="332" t="s">
        <v>609</v>
      </c>
      <c r="F22" s="333">
        <v>7.01</v>
      </c>
      <c r="G22" s="334">
        <v>4.33</v>
      </c>
      <c r="H22" s="257">
        <v>17697</v>
      </c>
      <c r="I22" s="257">
        <v>2</v>
      </c>
      <c r="J22" s="303">
        <f t="shared" si="8"/>
        <v>153256.01999999999</v>
      </c>
      <c r="K22" s="337">
        <f t="shared" si="9"/>
        <v>4</v>
      </c>
      <c r="L22" s="380"/>
      <c r="M22" s="338"/>
      <c r="N22" s="380"/>
      <c r="O22" s="338"/>
      <c r="P22" s="380">
        <v>4</v>
      </c>
      <c r="Q22" s="303">
        <f t="shared" ref="Q22" si="18">P22*J22/16</f>
        <v>38314.004999999997</v>
      </c>
      <c r="R22" s="303">
        <f t="shared" si="10"/>
        <v>9578.5012499999993</v>
      </c>
      <c r="S22" s="303">
        <f t="shared" si="11"/>
        <v>47892.506249999999</v>
      </c>
      <c r="T22" s="303">
        <f t="shared" si="12"/>
        <v>4789.2506249999997</v>
      </c>
      <c r="U22" s="303"/>
      <c r="V22" s="303"/>
      <c r="W22" s="303">
        <v>60</v>
      </c>
      <c r="X22" s="303">
        <v>10618</v>
      </c>
      <c r="Y22" s="338"/>
      <c r="Z22" s="338"/>
      <c r="AA22" s="338"/>
      <c r="AB22" s="338"/>
      <c r="AC22" s="303"/>
      <c r="AD22" s="303"/>
      <c r="AE22" s="303">
        <f t="shared" si="13"/>
        <v>14367.751875</v>
      </c>
      <c r="AF22" s="338"/>
      <c r="AG22" s="338"/>
      <c r="AH22" s="303"/>
      <c r="AI22" s="303"/>
      <c r="AJ22" s="303"/>
      <c r="AK22" s="303"/>
      <c r="AL22" s="303"/>
      <c r="AM22" s="303">
        <f t="shared" si="14"/>
        <v>77667.508749999994</v>
      </c>
      <c r="AN22" s="303">
        <f t="shared" si="15"/>
        <v>932.01010499999995</v>
      </c>
      <c r="AO22" s="246"/>
    </row>
    <row r="23" spans="1:41" s="247" customFormat="1" ht="30" customHeight="1" x14ac:dyDescent="0.2">
      <c r="A23" s="304">
        <v>6</v>
      </c>
      <c r="B23" s="326"/>
      <c r="C23" s="330" t="s">
        <v>646</v>
      </c>
      <c r="D23" s="331" t="s">
        <v>37</v>
      </c>
      <c r="E23" s="332" t="s">
        <v>643</v>
      </c>
      <c r="F23" s="333">
        <v>35.01</v>
      </c>
      <c r="G23" s="334">
        <v>5.41</v>
      </c>
      <c r="H23" s="257">
        <v>17697</v>
      </c>
      <c r="I23" s="257">
        <v>2</v>
      </c>
      <c r="J23" s="303">
        <f t="shared" si="8"/>
        <v>191481.54</v>
      </c>
      <c r="K23" s="337">
        <f t="shared" si="9"/>
        <v>18</v>
      </c>
      <c r="L23" s="380">
        <v>18</v>
      </c>
      <c r="M23" s="338">
        <f t="shared" ref="M23:M83" si="19">L23*J23/16</f>
        <v>215416.73250000001</v>
      </c>
      <c r="N23" s="381"/>
      <c r="O23" s="338"/>
      <c r="P23" s="381"/>
      <c r="Q23" s="303"/>
      <c r="R23" s="303">
        <f t="shared" si="10"/>
        <v>53854.183125000003</v>
      </c>
      <c r="S23" s="303">
        <f t="shared" si="11"/>
        <v>269270.91562500002</v>
      </c>
      <c r="T23" s="303">
        <f t="shared" si="12"/>
        <v>26927.091562500005</v>
      </c>
      <c r="U23" s="303">
        <v>50</v>
      </c>
      <c r="V23" s="303">
        <v>8848</v>
      </c>
      <c r="W23" s="303"/>
      <c r="X23" s="303"/>
      <c r="Y23" s="338">
        <v>40</v>
      </c>
      <c r="Z23" s="338">
        <f>(10*17697*40%)/16</f>
        <v>4424.25</v>
      </c>
      <c r="AA23" s="338"/>
      <c r="AB23" s="338"/>
      <c r="AC23" s="303"/>
      <c r="AD23" s="303"/>
      <c r="AE23" s="303">
        <f t="shared" si="13"/>
        <v>80781.274687500001</v>
      </c>
      <c r="AF23" s="338"/>
      <c r="AG23" s="338"/>
      <c r="AH23" s="303"/>
      <c r="AI23" s="303"/>
      <c r="AJ23" s="303"/>
      <c r="AK23" s="303">
        <f>S23*0.4</f>
        <v>107708.36625000002</v>
      </c>
      <c r="AL23" s="303"/>
      <c r="AM23" s="303">
        <f t="shared" si="14"/>
        <v>497959.89812500001</v>
      </c>
      <c r="AN23" s="303">
        <f t="shared" si="15"/>
        <v>5975.5187774999995</v>
      </c>
      <c r="AO23" s="246"/>
    </row>
    <row r="24" spans="1:41" s="247" customFormat="1" ht="30" customHeight="1" x14ac:dyDescent="0.2">
      <c r="A24" s="304">
        <v>7</v>
      </c>
      <c r="B24" s="326"/>
      <c r="C24" s="330" t="s">
        <v>647</v>
      </c>
      <c r="D24" s="331" t="s">
        <v>37</v>
      </c>
      <c r="E24" s="332" t="s">
        <v>643</v>
      </c>
      <c r="F24" s="333">
        <v>33.049999999999997</v>
      </c>
      <c r="G24" s="334">
        <v>5.41</v>
      </c>
      <c r="H24" s="257">
        <v>17697</v>
      </c>
      <c r="I24" s="257">
        <v>2</v>
      </c>
      <c r="J24" s="303">
        <f t="shared" si="8"/>
        <v>191481.54</v>
      </c>
      <c r="K24" s="337">
        <f t="shared" si="9"/>
        <v>7</v>
      </c>
      <c r="L24" s="380"/>
      <c r="M24" s="338"/>
      <c r="N24" s="381"/>
      <c r="O24" s="338"/>
      <c r="P24" s="380">
        <v>7</v>
      </c>
      <c r="Q24" s="303">
        <f t="shared" si="17"/>
        <v>83773.173750000002</v>
      </c>
      <c r="R24" s="303">
        <f t="shared" si="10"/>
        <v>20943.2934375</v>
      </c>
      <c r="S24" s="303">
        <f t="shared" si="11"/>
        <v>104716.46718750001</v>
      </c>
      <c r="T24" s="303">
        <f t="shared" si="12"/>
        <v>10471.646718750002</v>
      </c>
      <c r="U24" s="303"/>
      <c r="V24" s="303"/>
      <c r="W24" s="303"/>
      <c r="X24" s="303"/>
      <c r="Y24" s="338"/>
      <c r="Z24" s="338"/>
      <c r="AA24" s="338"/>
      <c r="AB24" s="338"/>
      <c r="AC24" s="303"/>
      <c r="AD24" s="303"/>
      <c r="AE24" s="303">
        <f t="shared" si="13"/>
        <v>31414.940156249999</v>
      </c>
      <c r="AF24" s="338"/>
      <c r="AG24" s="338"/>
      <c r="AH24" s="303"/>
      <c r="AI24" s="303"/>
      <c r="AJ24" s="303"/>
      <c r="AK24" s="303">
        <f t="shared" ref="AK24:AK25" si="20">S24*0.4</f>
        <v>41886.586875000008</v>
      </c>
      <c r="AL24" s="303"/>
      <c r="AM24" s="303">
        <f t="shared" si="14"/>
        <v>188489.64093750002</v>
      </c>
      <c r="AN24" s="303">
        <f t="shared" si="15"/>
        <v>2261.8756912500003</v>
      </c>
      <c r="AO24" s="246"/>
    </row>
    <row r="25" spans="1:41" s="247" customFormat="1" ht="30" customHeight="1" x14ac:dyDescent="0.2">
      <c r="A25" s="304">
        <v>8</v>
      </c>
      <c r="B25" s="326"/>
      <c r="C25" s="330" t="s">
        <v>648</v>
      </c>
      <c r="D25" s="331" t="s">
        <v>37</v>
      </c>
      <c r="E25" s="332" t="s">
        <v>643</v>
      </c>
      <c r="F25" s="333">
        <v>30.04</v>
      </c>
      <c r="G25" s="334">
        <v>5.41</v>
      </c>
      <c r="H25" s="257">
        <v>17697</v>
      </c>
      <c r="I25" s="257">
        <v>2</v>
      </c>
      <c r="J25" s="303">
        <f t="shared" si="8"/>
        <v>191481.54</v>
      </c>
      <c r="K25" s="337">
        <f t="shared" si="9"/>
        <v>19</v>
      </c>
      <c r="L25" s="380"/>
      <c r="M25" s="338"/>
      <c r="N25" s="380">
        <v>15</v>
      </c>
      <c r="O25" s="338">
        <f t="shared" si="16"/>
        <v>179513.94375000001</v>
      </c>
      <c r="P25" s="380">
        <v>4</v>
      </c>
      <c r="Q25" s="303">
        <f t="shared" si="17"/>
        <v>47870.385000000002</v>
      </c>
      <c r="R25" s="303">
        <f t="shared" si="10"/>
        <v>56846.082187500004</v>
      </c>
      <c r="S25" s="303">
        <f t="shared" si="11"/>
        <v>284230.41093750001</v>
      </c>
      <c r="T25" s="303">
        <f t="shared" si="12"/>
        <v>28423.041093750002</v>
      </c>
      <c r="U25" s="303"/>
      <c r="V25" s="303"/>
      <c r="W25" s="303"/>
      <c r="X25" s="303"/>
      <c r="Y25" s="338"/>
      <c r="Z25" s="338"/>
      <c r="AA25" s="338"/>
      <c r="AB25" s="338"/>
      <c r="AC25" s="303"/>
      <c r="AD25" s="303"/>
      <c r="AE25" s="303">
        <f t="shared" si="13"/>
        <v>85269.123281249995</v>
      </c>
      <c r="AF25" s="338"/>
      <c r="AG25" s="338"/>
      <c r="AH25" s="303"/>
      <c r="AI25" s="303"/>
      <c r="AJ25" s="303"/>
      <c r="AK25" s="303">
        <f t="shared" si="20"/>
        <v>113692.16437500001</v>
      </c>
      <c r="AL25" s="303"/>
      <c r="AM25" s="303">
        <f t="shared" si="14"/>
        <v>511614.7396875</v>
      </c>
      <c r="AN25" s="303">
        <f t="shared" si="15"/>
        <v>6139.3768762499994</v>
      </c>
      <c r="AO25" s="246"/>
    </row>
    <row r="26" spans="1:41" s="247" customFormat="1" ht="30" customHeight="1" x14ac:dyDescent="0.2">
      <c r="A26" s="304">
        <v>9</v>
      </c>
      <c r="B26" s="326"/>
      <c r="C26" s="330" t="s">
        <v>646</v>
      </c>
      <c r="D26" s="331" t="s">
        <v>37</v>
      </c>
      <c r="E26" s="332" t="s">
        <v>614</v>
      </c>
      <c r="F26" s="333">
        <v>12.01</v>
      </c>
      <c r="G26" s="334">
        <v>4.8600000000000003</v>
      </c>
      <c r="H26" s="257">
        <v>17697</v>
      </c>
      <c r="I26" s="257">
        <v>2</v>
      </c>
      <c r="J26" s="303">
        <f t="shared" si="8"/>
        <v>172014.84000000003</v>
      </c>
      <c r="K26" s="337">
        <f t="shared" si="9"/>
        <v>19</v>
      </c>
      <c r="L26" s="380">
        <v>19</v>
      </c>
      <c r="M26" s="338">
        <f t="shared" si="19"/>
        <v>204267.62250000003</v>
      </c>
      <c r="N26" s="381"/>
      <c r="O26" s="338"/>
      <c r="P26" s="381"/>
      <c r="Q26" s="303"/>
      <c r="R26" s="303">
        <f t="shared" si="10"/>
        <v>51066.905625000007</v>
      </c>
      <c r="S26" s="303">
        <f t="shared" si="11"/>
        <v>255334.52812500004</v>
      </c>
      <c r="T26" s="303">
        <f t="shared" si="12"/>
        <v>25533.452812500007</v>
      </c>
      <c r="U26" s="303">
        <v>50</v>
      </c>
      <c r="V26" s="303">
        <v>8848</v>
      </c>
      <c r="W26" s="303"/>
      <c r="X26" s="303"/>
      <c r="Y26" s="338">
        <v>40</v>
      </c>
      <c r="Z26" s="338">
        <f>(11*17697*40%)/16</f>
        <v>4866.6750000000002</v>
      </c>
      <c r="AA26" s="338"/>
      <c r="AB26" s="338"/>
      <c r="AC26" s="303"/>
      <c r="AD26" s="303"/>
      <c r="AE26" s="303">
        <f t="shared" si="13"/>
        <v>76600.358437500006</v>
      </c>
      <c r="AF26" s="338"/>
      <c r="AG26" s="338"/>
      <c r="AH26" s="303"/>
      <c r="AI26" s="303"/>
      <c r="AJ26" s="303">
        <f t="shared" ref="AJ26:AJ84" si="21">S26*0.35</f>
        <v>89367.08484375001</v>
      </c>
      <c r="AK26" s="303"/>
      <c r="AL26" s="303"/>
      <c r="AM26" s="303">
        <f t="shared" si="14"/>
        <v>460550.09921875002</v>
      </c>
      <c r="AN26" s="303">
        <f t="shared" si="15"/>
        <v>5526.6011906250005</v>
      </c>
      <c r="AO26" s="246"/>
    </row>
    <row r="27" spans="1:41" s="247" customFormat="1" ht="30" customHeight="1" x14ac:dyDescent="0.2">
      <c r="A27" s="304">
        <v>10</v>
      </c>
      <c r="B27" s="326"/>
      <c r="C27" s="330" t="s">
        <v>646</v>
      </c>
      <c r="D27" s="331" t="s">
        <v>37</v>
      </c>
      <c r="E27" s="332" t="s">
        <v>614</v>
      </c>
      <c r="F27" s="333">
        <v>30.04</v>
      </c>
      <c r="G27" s="334">
        <v>5.2</v>
      </c>
      <c r="H27" s="257">
        <v>17697</v>
      </c>
      <c r="I27" s="257">
        <v>2</v>
      </c>
      <c r="J27" s="303">
        <f t="shared" si="8"/>
        <v>184048.80000000002</v>
      </c>
      <c r="K27" s="337">
        <f t="shared" si="9"/>
        <v>20</v>
      </c>
      <c r="L27" s="380">
        <v>20</v>
      </c>
      <c r="M27" s="338">
        <f t="shared" si="19"/>
        <v>230061.00000000003</v>
      </c>
      <c r="N27" s="381"/>
      <c r="O27" s="338"/>
      <c r="P27" s="381"/>
      <c r="Q27" s="303"/>
      <c r="R27" s="303">
        <f t="shared" si="10"/>
        <v>57515.250000000007</v>
      </c>
      <c r="S27" s="303">
        <f t="shared" si="11"/>
        <v>287576.25000000006</v>
      </c>
      <c r="T27" s="303">
        <f t="shared" si="12"/>
        <v>28757.625000000007</v>
      </c>
      <c r="U27" s="303">
        <v>50</v>
      </c>
      <c r="V27" s="303">
        <v>8848</v>
      </c>
      <c r="W27" s="303"/>
      <c r="X27" s="303"/>
      <c r="Y27" s="338">
        <v>40</v>
      </c>
      <c r="Z27" s="338">
        <f>(12*17697*40%)/16</f>
        <v>5309.1</v>
      </c>
      <c r="AA27" s="338"/>
      <c r="AB27" s="338"/>
      <c r="AC27" s="303"/>
      <c r="AD27" s="303"/>
      <c r="AE27" s="303">
        <f t="shared" si="13"/>
        <v>86272.875000000015</v>
      </c>
      <c r="AF27" s="338">
        <v>4</v>
      </c>
      <c r="AG27" s="338">
        <f t="shared" ref="AG27:AG75" si="22">AF27*442</f>
        <v>1768</v>
      </c>
      <c r="AH27" s="303"/>
      <c r="AI27" s="303"/>
      <c r="AJ27" s="303">
        <f t="shared" si="21"/>
        <v>100651.68750000001</v>
      </c>
      <c r="AK27" s="303"/>
      <c r="AL27" s="303"/>
      <c r="AM27" s="303">
        <f t="shared" si="14"/>
        <v>519183.53750000003</v>
      </c>
      <c r="AN27" s="303">
        <f t="shared" si="15"/>
        <v>6230.2024499999998</v>
      </c>
      <c r="AO27" s="246"/>
    </row>
    <row r="28" spans="1:41" s="247" customFormat="1" ht="30" customHeight="1" x14ac:dyDescent="0.2">
      <c r="A28" s="304">
        <v>11</v>
      </c>
      <c r="B28" s="326"/>
      <c r="C28" s="330" t="s">
        <v>649</v>
      </c>
      <c r="D28" s="331" t="s">
        <v>37</v>
      </c>
      <c r="E28" s="332" t="s">
        <v>644</v>
      </c>
      <c r="F28" s="333">
        <v>12.05</v>
      </c>
      <c r="G28" s="334">
        <v>4.8099999999999996</v>
      </c>
      <c r="H28" s="257">
        <v>17697</v>
      </c>
      <c r="I28" s="257">
        <v>2</v>
      </c>
      <c r="J28" s="303">
        <f t="shared" si="8"/>
        <v>170245.13999999998</v>
      </c>
      <c r="K28" s="337">
        <f t="shared" si="9"/>
        <v>12</v>
      </c>
      <c r="L28" s="380"/>
      <c r="M28" s="338"/>
      <c r="N28" s="380">
        <v>12</v>
      </c>
      <c r="O28" s="338">
        <f t="shared" si="16"/>
        <v>127683.85499999998</v>
      </c>
      <c r="P28" s="381"/>
      <c r="Q28" s="303"/>
      <c r="R28" s="303">
        <f t="shared" si="10"/>
        <v>31920.963749999995</v>
      </c>
      <c r="S28" s="303">
        <f t="shared" si="11"/>
        <v>159604.81874999998</v>
      </c>
      <c r="T28" s="303">
        <f t="shared" si="12"/>
        <v>15960.481874999998</v>
      </c>
      <c r="U28" s="303"/>
      <c r="V28" s="303"/>
      <c r="W28" s="303"/>
      <c r="X28" s="303"/>
      <c r="Y28" s="338"/>
      <c r="Z28" s="338"/>
      <c r="AA28" s="338"/>
      <c r="AB28" s="338"/>
      <c r="AC28" s="303"/>
      <c r="AD28" s="303"/>
      <c r="AE28" s="303">
        <f t="shared" si="13"/>
        <v>47881.445624999993</v>
      </c>
      <c r="AF28" s="338"/>
      <c r="AG28" s="338"/>
      <c r="AH28" s="303"/>
      <c r="AI28" s="303"/>
      <c r="AJ28" s="303">
        <f t="shared" si="21"/>
        <v>55861.686562499992</v>
      </c>
      <c r="AK28" s="303"/>
      <c r="AL28" s="303"/>
      <c r="AM28" s="303">
        <f t="shared" si="14"/>
        <v>279308.43281249993</v>
      </c>
      <c r="AN28" s="303">
        <f t="shared" si="15"/>
        <v>3351.7011937499992</v>
      </c>
      <c r="AO28" s="246"/>
    </row>
    <row r="29" spans="1:41" s="247" customFormat="1" ht="30" customHeight="1" x14ac:dyDescent="0.2">
      <c r="A29" s="304">
        <v>12</v>
      </c>
      <c r="B29" s="326"/>
      <c r="C29" s="330" t="s">
        <v>650</v>
      </c>
      <c r="D29" s="331" t="s">
        <v>37</v>
      </c>
      <c r="E29" s="332" t="s">
        <v>614</v>
      </c>
      <c r="F29" s="333">
        <v>20.010000000000002</v>
      </c>
      <c r="G29" s="334">
        <v>5.12</v>
      </c>
      <c r="H29" s="257">
        <v>17697</v>
      </c>
      <c r="I29" s="257">
        <v>2</v>
      </c>
      <c r="J29" s="303">
        <f t="shared" si="8"/>
        <v>181217.28</v>
      </c>
      <c r="K29" s="337">
        <f t="shared" si="9"/>
        <v>21</v>
      </c>
      <c r="L29" s="380"/>
      <c r="M29" s="338"/>
      <c r="N29" s="380">
        <v>15</v>
      </c>
      <c r="O29" s="338">
        <f t="shared" si="16"/>
        <v>169891.20000000001</v>
      </c>
      <c r="P29" s="380">
        <v>6</v>
      </c>
      <c r="Q29" s="303">
        <f t="shared" si="17"/>
        <v>67956.479999999996</v>
      </c>
      <c r="R29" s="303">
        <f t="shared" si="10"/>
        <v>59461.919999999998</v>
      </c>
      <c r="S29" s="303">
        <f t="shared" si="11"/>
        <v>297309.59999999998</v>
      </c>
      <c r="T29" s="303">
        <f t="shared" si="12"/>
        <v>29730.959999999999</v>
      </c>
      <c r="U29" s="303"/>
      <c r="V29" s="303"/>
      <c r="W29" s="303">
        <v>60</v>
      </c>
      <c r="X29" s="303">
        <v>10618</v>
      </c>
      <c r="Y29" s="338">
        <v>40</v>
      </c>
      <c r="Z29" s="338">
        <f>(19*17697*40%)/16</f>
        <v>8406.0750000000007</v>
      </c>
      <c r="AA29" s="338"/>
      <c r="AB29" s="338"/>
      <c r="AC29" s="303"/>
      <c r="AD29" s="303"/>
      <c r="AE29" s="303">
        <f t="shared" si="13"/>
        <v>89192.87999999999</v>
      </c>
      <c r="AF29" s="338">
        <v>2</v>
      </c>
      <c r="AG29" s="338">
        <f t="shared" si="22"/>
        <v>884</v>
      </c>
      <c r="AH29" s="303"/>
      <c r="AI29" s="303"/>
      <c r="AJ29" s="303">
        <f t="shared" si="21"/>
        <v>104058.35999999999</v>
      </c>
      <c r="AK29" s="303"/>
      <c r="AL29" s="303"/>
      <c r="AM29" s="303">
        <f t="shared" si="14"/>
        <v>540199.875</v>
      </c>
      <c r="AN29" s="303">
        <f t="shared" si="15"/>
        <v>6482.3985000000002</v>
      </c>
      <c r="AO29" s="246"/>
    </row>
    <row r="30" spans="1:41" s="247" customFormat="1" ht="30" customHeight="1" x14ac:dyDescent="0.2">
      <c r="A30" s="304">
        <v>13</v>
      </c>
      <c r="B30" s="326"/>
      <c r="C30" s="330" t="s">
        <v>651</v>
      </c>
      <c r="D30" s="331" t="s">
        <v>37</v>
      </c>
      <c r="E30" s="332" t="s">
        <v>609</v>
      </c>
      <c r="F30" s="333">
        <v>5.09</v>
      </c>
      <c r="G30" s="334">
        <v>4.2699999999999996</v>
      </c>
      <c r="H30" s="257">
        <v>17697</v>
      </c>
      <c r="I30" s="257">
        <v>2</v>
      </c>
      <c r="J30" s="303">
        <f t="shared" si="8"/>
        <v>151132.37999999998</v>
      </c>
      <c r="K30" s="337">
        <f t="shared" si="9"/>
        <v>18</v>
      </c>
      <c r="L30" s="380"/>
      <c r="M30" s="338"/>
      <c r="N30" s="380">
        <v>12</v>
      </c>
      <c r="O30" s="338">
        <f t="shared" si="16"/>
        <v>113349.28499999997</v>
      </c>
      <c r="P30" s="380">
        <v>6</v>
      </c>
      <c r="Q30" s="303">
        <f t="shared" si="17"/>
        <v>56674.642499999987</v>
      </c>
      <c r="R30" s="303">
        <f t="shared" si="10"/>
        <v>42505.98187499999</v>
      </c>
      <c r="S30" s="303">
        <f t="shared" si="11"/>
        <v>212529.90937499996</v>
      </c>
      <c r="T30" s="303">
        <f t="shared" si="12"/>
        <v>21252.990937499999</v>
      </c>
      <c r="U30" s="303"/>
      <c r="V30" s="303"/>
      <c r="W30" s="303">
        <v>60</v>
      </c>
      <c r="X30" s="303">
        <v>10618</v>
      </c>
      <c r="Y30" s="338"/>
      <c r="Z30" s="338"/>
      <c r="AA30" s="338">
        <v>50</v>
      </c>
      <c r="AB30" s="338">
        <f>(K30*17697*50%)/16/2</f>
        <v>4977.28125</v>
      </c>
      <c r="AC30" s="303"/>
      <c r="AD30" s="303"/>
      <c r="AE30" s="303">
        <f t="shared" si="13"/>
        <v>63758.972812499982</v>
      </c>
      <c r="AF30" s="338"/>
      <c r="AG30" s="338"/>
      <c r="AH30" s="303"/>
      <c r="AI30" s="303"/>
      <c r="AJ30" s="303"/>
      <c r="AK30" s="303"/>
      <c r="AL30" s="303"/>
      <c r="AM30" s="303">
        <f t="shared" si="14"/>
        <v>313137.15437499993</v>
      </c>
      <c r="AN30" s="303">
        <f t="shared" si="15"/>
        <v>3757.6458524999989</v>
      </c>
      <c r="AO30" s="246"/>
    </row>
    <row r="31" spans="1:41" s="247" customFormat="1" ht="30" customHeight="1" x14ac:dyDescent="0.2">
      <c r="A31" s="304">
        <v>14</v>
      </c>
      <c r="B31" s="326"/>
      <c r="C31" s="330" t="s">
        <v>652</v>
      </c>
      <c r="D31" s="331" t="s">
        <v>37</v>
      </c>
      <c r="E31" s="332" t="s">
        <v>608</v>
      </c>
      <c r="F31" s="333">
        <v>22.04</v>
      </c>
      <c r="G31" s="334">
        <v>4.67</v>
      </c>
      <c r="H31" s="257">
        <v>17697</v>
      </c>
      <c r="I31" s="257">
        <v>2</v>
      </c>
      <c r="J31" s="303">
        <f t="shared" si="8"/>
        <v>165289.98000000001</v>
      </c>
      <c r="K31" s="337">
        <f t="shared" si="9"/>
        <v>10</v>
      </c>
      <c r="L31" s="380"/>
      <c r="M31" s="338"/>
      <c r="N31" s="380">
        <v>10</v>
      </c>
      <c r="O31" s="338">
        <f t="shared" si="16"/>
        <v>103306.2375</v>
      </c>
      <c r="P31" s="380"/>
      <c r="Q31" s="303"/>
      <c r="R31" s="303">
        <f t="shared" si="10"/>
        <v>25826.559375000001</v>
      </c>
      <c r="S31" s="303">
        <f t="shared" si="11"/>
        <v>129132.796875</v>
      </c>
      <c r="T31" s="303">
        <f t="shared" si="12"/>
        <v>12913.2796875</v>
      </c>
      <c r="U31" s="303"/>
      <c r="V31" s="303"/>
      <c r="W31" s="303"/>
      <c r="X31" s="303"/>
      <c r="Y31" s="338"/>
      <c r="Z31" s="338"/>
      <c r="AA31" s="338"/>
      <c r="AB31" s="338"/>
      <c r="AC31" s="303"/>
      <c r="AD31" s="303"/>
      <c r="AE31" s="303">
        <f t="shared" si="13"/>
        <v>38739.839062499996</v>
      </c>
      <c r="AF31" s="338"/>
      <c r="AG31" s="338"/>
      <c r="AH31" s="303"/>
      <c r="AI31" s="303"/>
      <c r="AJ31" s="303"/>
      <c r="AK31" s="303"/>
      <c r="AL31" s="303"/>
      <c r="AM31" s="303">
        <f t="shared" si="14"/>
        <v>180785.91562499999</v>
      </c>
      <c r="AN31" s="303">
        <f t="shared" si="15"/>
        <v>2169.4309874999999</v>
      </c>
      <c r="AO31" s="246"/>
    </row>
    <row r="32" spans="1:41" s="247" customFormat="1" ht="30" customHeight="1" x14ac:dyDescent="0.2">
      <c r="A32" s="304">
        <v>15</v>
      </c>
      <c r="B32" s="326"/>
      <c r="C32" s="330" t="s">
        <v>646</v>
      </c>
      <c r="D32" s="331" t="s">
        <v>37</v>
      </c>
      <c r="E32" s="332" t="s">
        <v>615</v>
      </c>
      <c r="F32" s="333">
        <v>9.1</v>
      </c>
      <c r="G32" s="330">
        <v>4.74</v>
      </c>
      <c r="H32" s="257">
        <v>17697</v>
      </c>
      <c r="I32" s="257">
        <v>2</v>
      </c>
      <c r="J32" s="303">
        <f t="shared" si="8"/>
        <v>167767.56</v>
      </c>
      <c r="K32" s="337">
        <f t="shared" si="9"/>
        <v>18</v>
      </c>
      <c r="L32" s="380">
        <v>18</v>
      </c>
      <c r="M32" s="338">
        <f t="shared" si="19"/>
        <v>188738.505</v>
      </c>
      <c r="N32" s="380"/>
      <c r="O32" s="338"/>
      <c r="P32" s="380"/>
      <c r="Q32" s="303"/>
      <c r="R32" s="303">
        <f t="shared" si="10"/>
        <v>47184.626250000001</v>
      </c>
      <c r="S32" s="303">
        <f t="shared" si="11"/>
        <v>235923.13125000001</v>
      </c>
      <c r="T32" s="303">
        <f t="shared" si="12"/>
        <v>23592.313125000001</v>
      </c>
      <c r="U32" s="303">
        <v>50</v>
      </c>
      <c r="V32" s="303">
        <v>8848</v>
      </c>
      <c r="W32" s="303"/>
      <c r="X32" s="303"/>
      <c r="Y32" s="338">
        <v>40</v>
      </c>
      <c r="Z32" s="338">
        <f>(11*17697*40%)/16</f>
        <v>4866.6750000000002</v>
      </c>
      <c r="AA32" s="338"/>
      <c r="AB32" s="338"/>
      <c r="AC32" s="303"/>
      <c r="AD32" s="303"/>
      <c r="AE32" s="303">
        <f t="shared" si="13"/>
        <v>70776.939375000002</v>
      </c>
      <c r="AF32" s="338">
        <v>2</v>
      </c>
      <c r="AG32" s="338">
        <f t="shared" si="22"/>
        <v>884</v>
      </c>
      <c r="AH32" s="303"/>
      <c r="AI32" s="303">
        <f>S32*0.3</f>
        <v>70776.939375000002</v>
      </c>
      <c r="AJ32" s="303"/>
      <c r="AK32" s="303"/>
      <c r="AL32" s="303"/>
      <c r="AM32" s="303">
        <f t="shared" si="14"/>
        <v>415667.99812500004</v>
      </c>
      <c r="AN32" s="303">
        <f t="shared" si="15"/>
        <v>4988.0159775000011</v>
      </c>
      <c r="AO32" s="246"/>
    </row>
    <row r="33" spans="1:41" s="247" customFormat="1" ht="30" customHeight="1" x14ac:dyDescent="0.2">
      <c r="A33" s="304">
        <v>16</v>
      </c>
      <c r="B33" s="327"/>
      <c r="C33" s="331" t="s">
        <v>653</v>
      </c>
      <c r="D33" s="331" t="s">
        <v>37</v>
      </c>
      <c r="E33" s="332" t="s">
        <v>615</v>
      </c>
      <c r="F33" s="333">
        <v>8.1</v>
      </c>
      <c r="G33" s="330">
        <v>4.74</v>
      </c>
      <c r="H33" s="257">
        <v>17697</v>
      </c>
      <c r="I33" s="257">
        <v>2</v>
      </c>
      <c r="J33" s="303">
        <f t="shared" si="8"/>
        <v>167767.56</v>
      </c>
      <c r="K33" s="337">
        <f t="shared" si="9"/>
        <v>17</v>
      </c>
      <c r="L33" s="380"/>
      <c r="M33" s="338"/>
      <c r="N33" s="380">
        <v>13</v>
      </c>
      <c r="O33" s="338">
        <f t="shared" si="16"/>
        <v>136311.14249999999</v>
      </c>
      <c r="P33" s="380">
        <v>4</v>
      </c>
      <c r="Q33" s="303">
        <f t="shared" si="17"/>
        <v>41941.89</v>
      </c>
      <c r="R33" s="303">
        <f t="shared" si="10"/>
        <v>44563.258124999993</v>
      </c>
      <c r="S33" s="303">
        <f t="shared" si="11"/>
        <v>222816.29062499997</v>
      </c>
      <c r="T33" s="303">
        <f t="shared" si="12"/>
        <v>22281.629062499997</v>
      </c>
      <c r="U33" s="303"/>
      <c r="V33" s="303"/>
      <c r="W33" s="303">
        <v>60</v>
      </c>
      <c r="X33" s="303">
        <v>10618</v>
      </c>
      <c r="Y33" s="338">
        <v>40</v>
      </c>
      <c r="Z33" s="338">
        <f>(16*17697*40%)/16</f>
        <v>7078.8</v>
      </c>
      <c r="AA33" s="338"/>
      <c r="AB33" s="338"/>
      <c r="AC33" s="303">
        <v>36920</v>
      </c>
      <c r="AD33" s="303"/>
      <c r="AE33" s="303">
        <f t="shared" si="13"/>
        <v>66844.88718749999</v>
      </c>
      <c r="AF33" s="338">
        <v>1</v>
      </c>
      <c r="AG33" s="338">
        <f t="shared" si="22"/>
        <v>442</v>
      </c>
      <c r="AH33" s="303"/>
      <c r="AI33" s="303">
        <f>S33*0.3</f>
        <v>66844.88718749999</v>
      </c>
      <c r="AJ33" s="303"/>
      <c r="AK33" s="303"/>
      <c r="AL33" s="303"/>
      <c r="AM33" s="303">
        <f t="shared" si="14"/>
        <v>433846.49406249996</v>
      </c>
      <c r="AN33" s="303">
        <f t="shared" si="15"/>
        <v>5206.157928749999</v>
      </c>
      <c r="AO33" s="246"/>
    </row>
    <row r="34" spans="1:41" s="247" customFormat="1" ht="30" customHeight="1" x14ac:dyDescent="0.2">
      <c r="A34" s="304">
        <v>17</v>
      </c>
      <c r="B34" s="327"/>
      <c r="C34" s="331" t="s">
        <v>39</v>
      </c>
      <c r="D34" s="331" t="s">
        <v>37</v>
      </c>
      <c r="E34" s="332" t="s">
        <v>609</v>
      </c>
      <c r="F34" s="333">
        <v>2.0099999999999998</v>
      </c>
      <c r="G34" s="330">
        <v>4.1900000000000004</v>
      </c>
      <c r="H34" s="257">
        <v>17697</v>
      </c>
      <c r="I34" s="257">
        <v>2</v>
      </c>
      <c r="J34" s="303">
        <f t="shared" si="8"/>
        <v>148300.86000000002</v>
      </c>
      <c r="K34" s="337">
        <f t="shared" si="9"/>
        <v>18</v>
      </c>
      <c r="L34" s="380"/>
      <c r="M34" s="338"/>
      <c r="N34" s="380">
        <v>18</v>
      </c>
      <c r="O34" s="338">
        <f t="shared" si="16"/>
        <v>166838.46750000003</v>
      </c>
      <c r="P34" s="380"/>
      <c r="Q34" s="303"/>
      <c r="R34" s="303">
        <f t="shared" si="10"/>
        <v>41709.616875000007</v>
      </c>
      <c r="S34" s="303">
        <f t="shared" si="11"/>
        <v>208548.08437500003</v>
      </c>
      <c r="T34" s="303">
        <f t="shared" si="12"/>
        <v>20854.808437500003</v>
      </c>
      <c r="U34" s="303"/>
      <c r="V34" s="303"/>
      <c r="W34" s="303"/>
      <c r="X34" s="303"/>
      <c r="Y34" s="338">
        <v>40</v>
      </c>
      <c r="Z34" s="338">
        <f>(15*17697*40%)/16/2</f>
        <v>3318.1875</v>
      </c>
      <c r="AA34" s="338"/>
      <c r="AB34" s="338"/>
      <c r="AC34" s="303"/>
      <c r="AD34" s="303"/>
      <c r="AE34" s="303">
        <f t="shared" si="13"/>
        <v>62564.42531250001</v>
      </c>
      <c r="AF34" s="338"/>
      <c r="AG34" s="338"/>
      <c r="AH34" s="303"/>
      <c r="AI34" s="303"/>
      <c r="AJ34" s="303"/>
      <c r="AK34" s="303"/>
      <c r="AL34" s="303"/>
      <c r="AM34" s="303">
        <f t="shared" si="14"/>
        <v>295285.50562500005</v>
      </c>
      <c r="AN34" s="303">
        <f t="shared" si="15"/>
        <v>3543.426067500001</v>
      </c>
      <c r="AO34" s="246"/>
    </row>
    <row r="35" spans="1:41" s="247" customFormat="1" ht="30" customHeight="1" x14ac:dyDescent="0.2">
      <c r="A35" s="304">
        <v>18</v>
      </c>
      <c r="B35" s="327"/>
      <c r="C35" s="331" t="s">
        <v>39</v>
      </c>
      <c r="D35" s="331" t="s">
        <v>37</v>
      </c>
      <c r="E35" s="332" t="s">
        <v>615</v>
      </c>
      <c r="F35" s="333">
        <v>10.01</v>
      </c>
      <c r="G35" s="330">
        <v>4.8099999999999996</v>
      </c>
      <c r="H35" s="257">
        <v>17697</v>
      </c>
      <c r="I35" s="257">
        <v>2</v>
      </c>
      <c r="J35" s="303">
        <f t="shared" si="8"/>
        <v>170245.13999999998</v>
      </c>
      <c r="K35" s="337">
        <f t="shared" si="9"/>
        <v>21</v>
      </c>
      <c r="L35" s="380"/>
      <c r="M35" s="338"/>
      <c r="N35" s="380">
        <v>21</v>
      </c>
      <c r="O35" s="338">
        <f t="shared" si="16"/>
        <v>223446.74624999997</v>
      </c>
      <c r="P35" s="380"/>
      <c r="Q35" s="303"/>
      <c r="R35" s="303">
        <f t="shared" si="10"/>
        <v>55861.686562499992</v>
      </c>
      <c r="S35" s="303">
        <f t="shared" si="11"/>
        <v>279308.43281249993</v>
      </c>
      <c r="T35" s="303">
        <f t="shared" si="12"/>
        <v>27930.843281249996</v>
      </c>
      <c r="U35" s="303"/>
      <c r="V35" s="303"/>
      <c r="W35" s="303"/>
      <c r="X35" s="303"/>
      <c r="Y35" s="338">
        <v>40</v>
      </c>
      <c r="Z35" s="338">
        <f>(K35*17697*40%)/16/2</f>
        <v>4645.4625000000005</v>
      </c>
      <c r="AA35" s="338"/>
      <c r="AB35" s="338"/>
      <c r="AC35" s="303"/>
      <c r="AD35" s="303"/>
      <c r="AE35" s="303">
        <f t="shared" si="13"/>
        <v>83792.529843749973</v>
      </c>
      <c r="AF35" s="338"/>
      <c r="AG35" s="338"/>
      <c r="AH35" s="303"/>
      <c r="AI35" s="303">
        <f>S35*0.3</f>
        <v>83792.529843749973</v>
      </c>
      <c r="AJ35" s="303"/>
      <c r="AK35" s="303"/>
      <c r="AL35" s="303"/>
      <c r="AM35" s="303">
        <f t="shared" si="14"/>
        <v>479469.79828124982</v>
      </c>
      <c r="AN35" s="303">
        <f t="shared" si="15"/>
        <v>5753.6375793749976</v>
      </c>
      <c r="AO35" s="246"/>
    </row>
    <row r="36" spans="1:41" s="2" customFormat="1" ht="30" customHeight="1" x14ac:dyDescent="0.2">
      <c r="A36" s="304">
        <v>19</v>
      </c>
      <c r="B36" s="327"/>
      <c r="C36" s="330" t="s">
        <v>651</v>
      </c>
      <c r="D36" s="331" t="s">
        <v>37</v>
      </c>
      <c r="E36" s="332" t="s">
        <v>609</v>
      </c>
      <c r="F36" s="333">
        <v>7.1</v>
      </c>
      <c r="G36" s="330">
        <v>4.33</v>
      </c>
      <c r="H36" s="396">
        <v>17697</v>
      </c>
      <c r="I36" s="396">
        <v>2</v>
      </c>
      <c r="J36" s="338">
        <f t="shared" ref="J36" si="23">G36*H36*I36</f>
        <v>153256.01999999999</v>
      </c>
      <c r="K36" s="337">
        <f t="shared" ref="K36" si="24">L36+N36+P36</f>
        <v>14</v>
      </c>
      <c r="L36" s="380">
        <v>2</v>
      </c>
      <c r="M36" s="338">
        <f t="shared" si="19"/>
        <v>19157.002499999999</v>
      </c>
      <c r="N36" s="380">
        <v>12</v>
      </c>
      <c r="O36" s="338">
        <f t="shared" si="16"/>
        <v>114942.01499999998</v>
      </c>
      <c r="P36" s="380"/>
      <c r="Q36" s="338"/>
      <c r="R36" s="338">
        <f t="shared" ref="R36" si="25">(M36+O36+Q36)/4</f>
        <v>33524.754374999997</v>
      </c>
      <c r="S36" s="338">
        <f t="shared" ref="S36" si="26">M36+O36+Q36+R36</f>
        <v>167623.77187499998</v>
      </c>
      <c r="T36" s="338">
        <f t="shared" ref="T36" si="27">S36*0.1</f>
        <v>16762.377187499998</v>
      </c>
      <c r="U36" s="338"/>
      <c r="V36" s="338"/>
      <c r="W36" s="338"/>
      <c r="X36" s="338"/>
      <c r="Y36" s="338"/>
      <c r="Z36" s="338"/>
      <c r="AA36" s="338">
        <v>50</v>
      </c>
      <c r="AB36" s="338">
        <f>(K36*17697*50%)/16/2</f>
        <v>3871.21875</v>
      </c>
      <c r="AC36" s="338"/>
      <c r="AD36" s="338"/>
      <c r="AE36" s="338">
        <f t="shared" si="13"/>
        <v>50287.131562499992</v>
      </c>
      <c r="AF36" s="338">
        <v>3</v>
      </c>
      <c r="AG36" s="338">
        <f t="shared" ref="AG36" si="28">AF36*442</f>
        <v>1326</v>
      </c>
      <c r="AH36" s="338"/>
      <c r="AI36" s="338"/>
      <c r="AJ36" s="338"/>
      <c r="AK36" s="338"/>
      <c r="AL36" s="338"/>
      <c r="AM36" s="338">
        <f t="shared" ref="AM36" si="29">S36+T36+V36+X36+Z36+AB36+AC36+AD36+AE36+AG36+AH36+AI36+AJ36+AK36+AL36</f>
        <v>239870.49937499998</v>
      </c>
      <c r="AN36" s="338">
        <f t="shared" ref="AN36" si="30">AM36*12/1000</f>
        <v>2878.4459924999996</v>
      </c>
      <c r="AO36" s="204"/>
    </row>
    <row r="37" spans="1:41" s="247" customFormat="1" ht="30" customHeight="1" x14ac:dyDescent="0.2">
      <c r="A37" s="304">
        <v>20</v>
      </c>
      <c r="B37" s="326"/>
      <c r="C37" s="330" t="s">
        <v>651</v>
      </c>
      <c r="D37" s="331" t="s">
        <v>37</v>
      </c>
      <c r="E37" s="332" t="s">
        <v>643</v>
      </c>
      <c r="F37" s="333">
        <v>38.07</v>
      </c>
      <c r="G37" s="334">
        <v>5.41</v>
      </c>
      <c r="H37" s="257">
        <v>17697</v>
      </c>
      <c r="I37" s="257">
        <v>2</v>
      </c>
      <c r="J37" s="303">
        <f t="shared" si="8"/>
        <v>191481.54</v>
      </c>
      <c r="K37" s="337">
        <f t="shared" si="9"/>
        <v>22</v>
      </c>
      <c r="L37" s="380"/>
      <c r="M37" s="338"/>
      <c r="N37" s="380">
        <v>18</v>
      </c>
      <c r="O37" s="338">
        <f t="shared" si="16"/>
        <v>215416.73250000001</v>
      </c>
      <c r="P37" s="380">
        <v>4</v>
      </c>
      <c r="Q37" s="303">
        <f t="shared" si="17"/>
        <v>47870.385000000002</v>
      </c>
      <c r="R37" s="303">
        <f t="shared" si="10"/>
        <v>65821.779374999998</v>
      </c>
      <c r="S37" s="303">
        <f t="shared" si="11"/>
        <v>329108.89687499998</v>
      </c>
      <c r="T37" s="303">
        <f t="shared" si="12"/>
        <v>32910.889687499999</v>
      </c>
      <c r="U37" s="303"/>
      <c r="V37" s="303"/>
      <c r="W37" s="303"/>
      <c r="X37" s="303"/>
      <c r="Y37" s="338"/>
      <c r="Z37" s="338"/>
      <c r="AA37" s="338">
        <v>50</v>
      </c>
      <c r="AB37" s="338">
        <f>(K37*17697*50%)/16/2</f>
        <v>6083.34375</v>
      </c>
      <c r="AC37" s="303"/>
      <c r="AD37" s="303"/>
      <c r="AE37" s="303">
        <f t="shared" si="13"/>
        <v>98732.66906249999</v>
      </c>
      <c r="AF37" s="338"/>
      <c r="AG37" s="338"/>
      <c r="AH37" s="303"/>
      <c r="AI37" s="303"/>
      <c r="AJ37" s="303"/>
      <c r="AK37" s="303">
        <f t="shared" ref="AK37:AK38" si="31">S37*0.4</f>
        <v>131643.55875</v>
      </c>
      <c r="AL37" s="303"/>
      <c r="AM37" s="303">
        <f t="shared" si="14"/>
        <v>598479.35812500003</v>
      </c>
      <c r="AN37" s="303">
        <f t="shared" si="15"/>
        <v>7181.7522975000002</v>
      </c>
      <c r="AO37" s="246"/>
    </row>
    <row r="38" spans="1:41" s="247" customFormat="1" ht="30" customHeight="1" x14ac:dyDescent="0.2">
      <c r="A38" s="304">
        <v>21</v>
      </c>
      <c r="B38" s="326"/>
      <c r="C38" s="330" t="s">
        <v>661</v>
      </c>
      <c r="D38" s="331" t="s">
        <v>37</v>
      </c>
      <c r="E38" s="332" t="s">
        <v>643</v>
      </c>
      <c r="F38" s="333">
        <v>24.01</v>
      </c>
      <c r="G38" s="334">
        <v>5.32</v>
      </c>
      <c r="H38" s="257">
        <v>17697</v>
      </c>
      <c r="I38" s="257">
        <v>2</v>
      </c>
      <c r="J38" s="303">
        <f t="shared" si="8"/>
        <v>188296.08000000002</v>
      </c>
      <c r="K38" s="337">
        <f t="shared" si="9"/>
        <v>8</v>
      </c>
      <c r="L38" s="380"/>
      <c r="M38" s="338"/>
      <c r="N38" s="380">
        <v>8</v>
      </c>
      <c r="O38" s="338">
        <f t="shared" si="16"/>
        <v>94148.040000000008</v>
      </c>
      <c r="P38" s="380"/>
      <c r="Q38" s="303"/>
      <c r="R38" s="303">
        <f t="shared" si="10"/>
        <v>23537.010000000002</v>
      </c>
      <c r="S38" s="303">
        <f t="shared" si="11"/>
        <v>117685.05000000002</v>
      </c>
      <c r="T38" s="303">
        <f t="shared" si="12"/>
        <v>11768.505000000003</v>
      </c>
      <c r="U38" s="303"/>
      <c r="V38" s="303"/>
      <c r="W38" s="303"/>
      <c r="X38" s="303"/>
      <c r="Y38" s="338"/>
      <c r="Z38" s="338"/>
      <c r="AA38" s="338"/>
      <c r="AB38" s="338"/>
      <c r="AC38" s="303"/>
      <c r="AD38" s="303"/>
      <c r="AE38" s="303">
        <f t="shared" si="13"/>
        <v>35305.515000000007</v>
      </c>
      <c r="AF38" s="338"/>
      <c r="AG38" s="338"/>
      <c r="AH38" s="303"/>
      <c r="AI38" s="303"/>
      <c r="AJ38" s="303"/>
      <c r="AK38" s="303">
        <f t="shared" si="31"/>
        <v>47074.020000000011</v>
      </c>
      <c r="AL38" s="303"/>
      <c r="AM38" s="303">
        <f t="shared" si="14"/>
        <v>211833.09000000005</v>
      </c>
      <c r="AN38" s="303">
        <f t="shared" si="15"/>
        <v>2541.9970800000006</v>
      </c>
      <c r="AO38" s="246"/>
    </row>
    <row r="39" spans="1:41" s="247" customFormat="1" ht="30" customHeight="1" x14ac:dyDescent="0.2">
      <c r="A39" s="304">
        <v>22</v>
      </c>
      <c r="B39" s="326"/>
      <c r="C39" s="330" t="s">
        <v>661</v>
      </c>
      <c r="D39" s="331" t="s">
        <v>37</v>
      </c>
      <c r="E39" s="332" t="s">
        <v>609</v>
      </c>
      <c r="F39" s="333">
        <v>1</v>
      </c>
      <c r="G39" s="334">
        <v>4.1399999999999997</v>
      </c>
      <c r="H39" s="257">
        <v>17697</v>
      </c>
      <c r="I39" s="257">
        <v>2</v>
      </c>
      <c r="J39" s="303">
        <f t="shared" si="8"/>
        <v>146531.15999999997</v>
      </c>
      <c r="K39" s="337">
        <f t="shared" si="9"/>
        <v>6</v>
      </c>
      <c r="L39" s="380"/>
      <c r="M39" s="338"/>
      <c r="N39" s="380">
        <v>6</v>
      </c>
      <c r="O39" s="338">
        <f t="shared" si="16"/>
        <v>54949.18499999999</v>
      </c>
      <c r="P39" s="380"/>
      <c r="Q39" s="303"/>
      <c r="R39" s="303">
        <f t="shared" si="10"/>
        <v>13737.296249999998</v>
      </c>
      <c r="S39" s="303">
        <f t="shared" si="11"/>
        <v>68686.481249999983</v>
      </c>
      <c r="T39" s="303">
        <f t="shared" si="12"/>
        <v>6868.6481249999988</v>
      </c>
      <c r="U39" s="303"/>
      <c r="V39" s="303"/>
      <c r="W39" s="303"/>
      <c r="X39" s="303"/>
      <c r="Y39" s="338"/>
      <c r="Z39" s="338"/>
      <c r="AA39" s="338"/>
      <c r="AB39" s="338"/>
      <c r="AC39" s="303"/>
      <c r="AD39" s="303"/>
      <c r="AE39" s="303">
        <f t="shared" si="13"/>
        <v>20605.944374999995</v>
      </c>
      <c r="AF39" s="338"/>
      <c r="AG39" s="338"/>
      <c r="AH39" s="303"/>
      <c r="AI39" s="303"/>
      <c r="AJ39" s="303"/>
      <c r="AK39" s="303"/>
      <c r="AL39" s="303"/>
      <c r="AM39" s="303">
        <f t="shared" si="14"/>
        <v>96161.073749999967</v>
      </c>
      <c r="AN39" s="303">
        <f t="shared" si="15"/>
        <v>1153.9328849999995</v>
      </c>
      <c r="AO39" s="246"/>
    </row>
    <row r="40" spans="1:41" s="247" customFormat="1" ht="30" customHeight="1" x14ac:dyDescent="0.2">
      <c r="A40" s="304">
        <v>23</v>
      </c>
      <c r="B40" s="326"/>
      <c r="C40" s="330" t="s">
        <v>642</v>
      </c>
      <c r="D40" s="331" t="s">
        <v>37</v>
      </c>
      <c r="E40" s="332" t="s">
        <v>609</v>
      </c>
      <c r="F40" s="333">
        <v>2</v>
      </c>
      <c r="G40" s="334">
        <v>4.1399999999999997</v>
      </c>
      <c r="H40" s="257">
        <v>17697</v>
      </c>
      <c r="I40" s="257">
        <v>2</v>
      </c>
      <c r="J40" s="303">
        <f t="shared" si="8"/>
        <v>146531.15999999997</v>
      </c>
      <c r="K40" s="337">
        <f t="shared" si="9"/>
        <v>16</v>
      </c>
      <c r="L40" s="380"/>
      <c r="M40" s="338"/>
      <c r="N40" s="380">
        <v>16</v>
      </c>
      <c r="O40" s="338">
        <f t="shared" si="16"/>
        <v>146531.15999999997</v>
      </c>
      <c r="P40" s="380"/>
      <c r="Q40" s="303"/>
      <c r="R40" s="303">
        <f t="shared" si="10"/>
        <v>36632.789999999994</v>
      </c>
      <c r="S40" s="303">
        <f t="shared" si="11"/>
        <v>183163.94999999995</v>
      </c>
      <c r="T40" s="303">
        <f t="shared" si="12"/>
        <v>18316.394999999997</v>
      </c>
      <c r="U40" s="303"/>
      <c r="V40" s="303"/>
      <c r="W40" s="303">
        <v>60</v>
      </c>
      <c r="X40" s="303">
        <v>10618</v>
      </c>
      <c r="Y40" s="338"/>
      <c r="Z40" s="338"/>
      <c r="AA40" s="338">
        <v>50</v>
      </c>
      <c r="AB40" s="338">
        <f>(10*17697*50%)/16</f>
        <v>5530.3125</v>
      </c>
      <c r="AC40" s="303"/>
      <c r="AD40" s="303"/>
      <c r="AE40" s="303">
        <f t="shared" si="13"/>
        <v>54949.184999999983</v>
      </c>
      <c r="AF40" s="338">
        <v>6</v>
      </c>
      <c r="AG40" s="338">
        <f t="shared" si="22"/>
        <v>2652</v>
      </c>
      <c r="AH40" s="303"/>
      <c r="AI40" s="303"/>
      <c r="AJ40" s="303"/>
      <c r="AK40" s="303"/>
      <c r="AL40" s="303"/>
      <c r="AM40" s="303">
        <f t="shared" si="14"/>
        <v>275229.84249999991</v>
      </c>
      <c r="AN40" s="303">
        <f t="shared" si="15"/>
        <v>3302.7581099999989</v>
      </c>
      <c r="AO40" s="246"/>
    </row>
    <row r="41" spans="1:41" s="247" customFormat="1" ht="30" customHeight="1" x14ac:dyDescent="0.2">
      <c r="A41" s="304">
        <v>24</v>
      </c>
      <c r="B41" s="326"/>
      <c r="C41" s="330" t="s">
        <v>654</v>
      </c>
      <c r="D41" s="331" t="s">
        <v>37</v>
      </c>
      <c r="E41" s="332" t="s">
        <v>644</v>
      </c>
      <c r="F41" s="333">
        <v>12.04</v>
      </c>
      <c r="G41" s="334">
        <v>4.8099999999999996</v>
      </c>
      <c r="H41" s="257">
        <v>17697</v>
      </c>
      <c r="I41" s="257">
        <v>2</v>
      </c>
      <c r="J41" s="303">
        <f t="shared" si="8"/>
        <v>170245.13999999998</v>
      </c>
      <c r="K41" s="337">
        <f t="shared" si="9"/>
        <v>16</v>
      </c>
      <c r="L41" s="380"/>
      <c r="M41" s="338"/>
      <c r="N41" s="380">
        <v>8</v>
      </c>
      <c r="O41" s="338">
        <f t="shared" si="16"/>
        <v>85122.569999999992</v>
      </c>
      <c r="P41" s="380">
        <v>8</v>
      </c>
      <c r="Q41" s="303">
        <f t="shared" si="17"/>
        <v>85122.569999999992</v>
      </c>
      <c r="R41" s="303">
        <f t="shared" si="10"/>
        <v>42561.284999999996</v>
      </c>
      <c r="S41" s="303">
        <f t="shared" si="11"/>
        <v>212806.42499999999</v>
      </c>
      <c r="T41" s="303">
        <f t="shared" si="12"/>
        <v>21280.642500000002</v>
      </c>
      <c r="U41" s="303"/>
      <c r="V41" s="303"/>
      <c r="W41" s="303"/>
      <c r="X41" s="303"/>
      <c r="Y41" s="338"/>
      <c r="Z41" s="338"/>
      <c r="AA41" s="338"/>
      <c r="AB41" s="338"/>
      <c r="AC41" s="303"/>
      <c r="AD41" s="303"/>
      <c r="AE41" s="303">
        <f t="shared" si="13"/>
        <v>63841.927499999991</v>
      </c>
      <c r="AF41" s="338"/>
      <c r="AG41" s="338"/>
      <c r="AH41" s="303"/>
      <c r="AI41" s="303">
        <f>S41*0.3</f>
        <v>63841.927499999991</v>
      </c>
      <c r="AJ41" s="303"/>
      <c r="AK41" s="303"/>
      <c r="AL41" s="303"/>
      <c r="AM41" s="303">
        <f t="shared" si="14"/>
        <v>361770.92249999999</v>
      </c>
      <c r="AN41" s="303">
        <f t="shared" si="15"/>
        <v>4341.2510700000003</v>
      </c>
      <c r="AO41" s="246"/>
    </row>
    <row r="42" spans="1:41" s="247" customFormat="1" ht="30" customHeight="1" x14ac:dyDescent="0.2">
      <c r="A42" s="304">
        <v>25</v>
      </c>
      <c r="B42" s="326"/>
      <c r="C42" s="330" t="s">
        <v>661</v>
      </c>
      <c r="D42" s="331" t="s">
        <v>37</v>
      </c>
      <c r="E42" s="332" t="s">
        <v>614</v>
      </c>
      <c r="F42" s="333">
        <v>34.04</v>
      </c>
      <c r="G42" s="334">
        <v>5.2</v>
      </c>
      <c r="H42" s="257">
        <v>17697</v>
      </c>
      <c r="I42" s="257">
        <v>2</v>
      </c>
      <c r="J42" s="303">
        <f t="shared" si="8"/>
        <v>184048.80000000002</v>
      </c>
      <c r="K42" s="337">
        <f t="shared" si="9"/>
        <v>19</v>
      </c>
      <c r="L42" s="380"/>
      <c r="M42" s="338"/>
      <c r="N42" s="380">
        <v>18</v>
      </c>
      <c r="O42" s="338">
        <f t="shared" si="16"/>
        <v>207054.90000000002</v>
      </c>
      <c r="P42" s="380">
        <v>1</v>
      </c>
      <c r="Q42" s="303">
        <f t="shared" si="17"/>
        <v>11503.050000000001</v>
      </c>
      <c r="R42" s="303">
        <f t="shared" si="10"/>
        <v>54639.487500000003</v>
      </c>
      <c r="S42" s="303">
        <f t="shared" si="11"/>
        <v>273197.4375</v>
      </c>
      <c r="T42" s="303">
        <f t="shared" si="12"/>
        <v>27319.743750000001</v>
      </c>
      <c r="U42" s="303"/>
      <c r="V42" s="303"/>
      <c r="W42" s="303"/>
      <c r="X42" s="303"/>
      <c r="Y42" s="338"/>
      <c r="Z42" s="338"/>
      <c r="AA42" s="338"/>
      <c r="AB42" s="338"/>
      <c r="AC42" s="303"/>
      <c r="AD42" s="303"/>
      <c r="AE42" s="303">
        <f t="shared" si="13"/>
        <v>81959.231249999997</v>
      </c>
      <c r="AF42" s="338"/>
      <c r="AG42" s="338"/>
      <c r="AH42" s="303"/>
      <c r="AI42" s="303"/>
      <c r="AJ42" s="303">
        <f t="shared" si="21"/>
        <v>95619.103124999994</v>
      </c>
      <c r="AK42" s="303"/>
      <c r="AL42" s="303"/>
      <c r="AM42" s="303">
        <f t="shared" si="14"/>
        <v>478095.515625</v>
      </c>
      <c r="AN42" s="303">
        <f t="shared" si="15"/>
        <v>5737.1461875000005</v>
      </c>
      <c r="AO42" s="246"/>
    </row>
    <row r="43" spans="1:41" s="247" customFormat="1" ht="30" customHeight="1" x14ac:dyDescent="0.2">
      <c r="A43" s="304">
        <v>26</v>
      </c>
      <c r="B43" s="326"/>
      <c r="C43" s="330" t="s">
        <v>646</v>
      </c>
      <c r="D43" s="331" t="s">
        <v>37</v>
      </c>
      <c r="E43" s="332" t="s">
        <v>643</v>
      </c>
      <c r="F43" s="333">
        <v>22.02</v>
      </c>
      <c r="G43" s="334">
        <v>5.32</v>
      </c>
      <c r="H43" s="257">
        <v>17697</v>
      </c>
      <c r="I43" s="257">
        <v>2</v>
      </c>
      <c r="J43" s="303">
        <f t="shared" si="8"/>
        <v>188296.08000000002</v>
      </c>
      <c r="K43" s="337">
        <f t="shared" si="9"/>
        <v>18</v>
      </c>
      <c r="L43" s="380">
        <v>18</v>
      </c>
      <c r="M43" s="338">
        <f t="shared" si="19"/>
        <v>211833.09000000003</v>
      </c>
      <c r="N43" s="380"/>
      <c r="O43" s="338"/>
      <c r="P43" s="380"/>
      <c r="Q43" s="303"/>
      <c r="R43" s="303">
        <f t="shared" si="10"/>
        <v>52958.272500000006</v>
      </c>
      <c r="S43" s="303">
        <f t="shared" si="11"/>
        <v>264791.36250000005</v>
      </c>
      <c r="T43" s="303">
        <f t="shared" si="12"/>
        <v>26479.136250000007</v>
      </c>
      <c r="U43" s="303">
        <v>50</v>
      </c>
      <c r="V43" s="303">
        <v>8848</v>
      </c>
      <c r="W43" s="303"/>
      <c r="X43" s="303"/>
      <c r="Y43" s="338">
        <v>40</v>
      </c>
      <c r="Z43" s="338">
        <f>(10*17697*40%)/16</f>
        <v>4424.25</v>
      </c>
      <c r="AA43" s="338"/>
      <c r="AB43" s="338"/>
      <c r="AC43" s="303"/>
      <c r="AD43" s="303"/>
      <c r="AE43" s="303">
        <f t="shared" si="13"/>
        <v>79437.408750000017</v>
      </c>
      <c r="AF43" s="338">
        <v>2</v>
      </c>
      <c r="AG43" s="338">
        <f t="shared" si="22"/>
        <v>884</v>
      </c>
      <c r="AH43" s="303"/>
      <c r="AI43" s="303"/>
      <c r="AJ43" s="303"/>
      <c r="AK43" s="303">
        <f>S43*0.4</f>
        <v>105916.54500000003</v>
      </c>
      <c r="AL43" s="303"/>
      <c r="AM43" s="303">
        <f t="shared" si="14"/>
        <v>490780.70250000007</v>
      </c>
      <c r="AN43" s="303">
        <f t="shared" si="15"/>
        <v>5889.3684300000004</v>
      </c>
      <c r="AO43" s="246"/>
    </row>
    <row r="44" spans="1:41" s="2" customFormat="1" ht="30" customHeight="1" x14ac:dyDescent="0.2">
      <c r="A44" s="304">
        <v>27</v>
      </c>
      <c r="B44" s="326"/>
      <c r="C44" s="330" t="s">
        <v>646</v>
      </c>
      <c r="D44" s="331" t="s">
        <v>37</v>
      </c>
      <c r="E44" s="332" t="s">
        <v>644</v>
      </c>
      <c r="F44" s="333">
        <v>16.010000000000002</v>
      </c>
      <c r="G44" s="334">
        <v>4.99</v>
      </c>
      <c r="H44" s="396">
        <v>17697</v>
      </c>
      <c r="I44" s="396">
        <v>2</v>
      </c>
      <c r="J44" s="338">
        <f t="shared" si="8"/>
        <v>176616.06</v>
      </c>
      <c r="K44" s="337">
        <f t="shared" si="9"/>
        <v>15</v>
      </c>
      <c r="L44" s="380">
        <v>15</v>
      </c>
      <c r="M44" s="338">
        <f t="shared" si="19"/>
        <v>165577.55624999999</v>
      </c>
      <c r="N44" s="380"/>
      <c r="O44" s="338"/>
      <c r="P44" s="380"/>
      <c r="Q44" s="338"/>
      <c r="R44" s="338">
        <f t="shared" si="10"/>
        <v>41394.389062499999</v>
      </c>
      <c r="S44" s="338">
        <f t="shared" si="11"/>
        <v>206971.9453125</v>
      </c>
      <c r="T44" s="338">
        <f t="shared" si="12"/>
        <v>20697.194531250003</v>
      </c>
      <c r="U44" s="338"/>
      <c r="V44" s="338"/>
      <c r="W44" s="338"/>
      <c r="X44" s="338"/>
      <c r="Y44" s="338"/>
      <c r="Z44" s="338"/>
      <c r="AA44" s="338"/>
      <c r="AB44" s="338"/>
      <c r="AC44" s="338"/>
      <c r="AD44" s="338"/>
      <c r="AE44" s="338">
        <f t="shared" si="13"/>
        <v>62091.583593749994</v>
      </c>
      <c r="AF44" s="338">
        <v>8</v>
      </c>
      <c r="AG44" s="338">
        <f t="shared" si="22"/>
        <v>3536</v>
      </c>
      <c r="AH44" s="338"/>
      <c r="AI44" s="338">
        <f>S44*0.3</f>
        <v>62091.583593749994</v>
      </c>
      <c r="AJ44" s="338"/>
      <c r="AK44" s="338"/>
      <c r="AL44" s="338"/>
      <c r="AM44" s="338">
        <f t="shared" si="14"/>
        <v>355388.30703124998</v>
      </c>
      <c r="AN44" s="338">
        <f t="shared" si="15"/>
        <v>4264.6596843749994</v>
      </c>
      <c r="AO44" s="204"/>
    </row>
    <row r="45" spans="1:41" s="247" customFormat="1" ht="30" customHeight="1" x14ac:dyDescent="0.2">
      <c r="A45" s="304">
        <v>28</v>
      </c>
      <c r="B45" s="326"/>
      <c r="C45" s="330" t="s">
        <v>646</v>
      </c>
      <c r="D45" s="331" t="s">
        <v>37</v>
      </c>
      <c r="E45" s="332" t="s">
        <v>643</v>
      </c>
      <c r="F45" s="333">
        <v>18</v>
      </c>
      <c r="G45" s="334">
        <v>5.24</v>
      </c>
      <c r="H45" s="257">
        <v>17697</v>
      </c>
      <c r="I45" s="257">
        <v>2</v>
      </c>
      <c r="J45" s="303">
        <f t="shared" si="8"/>
        <v>185464.56</v>
      </c>
      <c r="K45" s="337">
        <f t="shared" si="9"/>
        <v>20</v>
      </c>
      <c r="L45" s="380">
        <v>20</v>
      </c>
      <c r="M45" s="338">
        <f t="shared" si="19"/>
        <v>231830.7</v>
      </c>
      <c r="N45" s="380"/>
      <c r="O45" s="338"/>
      <c r="P45" s="380"/>
      <c r="Q45" s="303"/>
      <c r="R45" s="303">
        <f t="shared" si="10"/>
        <v>57957.675000000003</v>
      </c>
      <c r="S45" s="303">
        <f t="shared" si="11"/>
        <v>289788.375</v>
      </c>
      <c r="T45" s="303">
        <f t="shared" si="12"/>
        <v>28978.837500000001</v>
      </c>
      <c r="U45" s="303">
        <v>50</v>
      </c>
      <c r="V45" s="303">
        <v>8848</v>
      </c>
      <c r="W45" s="303"/>
      <c r="X45" s="303"/>
      <c r="Y45" s="338">
        <v>40</v>
      </c>
      <c r="Z45" s="338">
        <f>(12*17697*40%)/16</f>
        <v>5309.1</v>
      </c>
      <c r="AA45" s="338"/>
      <c r="AB45" s="338"/>
      <c r="AC45" s="303"/>
      <c r="AD45" s="303"/>
      <c r="AE45" s="303">
        <f t="shared" si="13"/>
        <v>86936.512499999997</v>
      </c>
      <c r="AF45" s="338">
        <v>2</v>
      </c>
      <c r="AG45" s="338">
        <f t="shared" si="22"/>
        <v>884</v>
      </c>
      <c r="AH45" s="303"/>
      <c r="AI45" s="303"/>
      <c r="AJ45" s="303"/>
      <c r="AK45" s="303">
        <f>S45*0.4</f>
        <v>115915.35</v>
      </c>
      <c r="AL45" s="303"/>
      <c r="AM45" s="303">
        <f t="shared" si="14"/>
        <v>536660.17500000005</v>
      </c>
      <c r="AN45" s="303">
        <f t="shared" si="15"/>
        <v>6439.9221000000007</v>
      </c>
      <c r="AO45" s="246"/>
    </row>
    <row r="46" spans="1:41" s="247" customFormat="1" ht="30" customHeight="1" x14ac:dyDescent="0.2">
      <c r="A46" s="304">
        <v>29</v>
      </c>
      <c r="B46" s="326"/>
      <c r="C46" s="330" t="s">
        <v>39</v>
      </c>
      <c r="D46" s="331" t="s">
        <v>37</v>
      </c>
      <c r="E46" s="332" t="s">
        <v>662</v>
      </c>
      <c r="F46" s="333">
        <v>2</v>
      </c>
      <c r="G46" s="334">
        <v>4.1399999999999997</v>
      </c>
      <c r="H46" s="257">
        <v>17697</v>
      </c>
      <c r="I46" s="257">
        <v>2</v>
      </c>
      <c r="J46" s="303">
        <f t="shared" si="8"/>
        <v>146531.15999999997</v>
      </c>
      <c r="K46" s="337">
        <f t="shared" si="9"/>
        <v>21</v>
      </c>
      <c r="L46" s="380"/>
      <c r="M46" s="338"/>
      <c r="N46" s="380">
        <v>18</v>
      </c>
      <c r="O46" s="338">
        <f t="shared" si="16"/>
        <v>164847.55499999996</v>
      </c>
      <c r="P46" s="380">
        <v>3</v>
      </c>
      <c r="Q46" s="303">
        <f t="shared" si="17"/>
        <v>27474.592499999995</v>
      </c>
      <c r="R46" s="303">
        <f t="shared" si="10"/>
        <v>48080.536874999991</v>
      </c>
      <c r="S46" s="303">
        <f t="shared" si="11"/>
        <v>240402.68437499995</v>
      </c>
      <c r="T46" s="303">
        <f t="shared" si="12"/>
        <v>24040.268437499995</v>
      </c>
      <c r="U46" s="303"/>
      <c r="V46" s="303"/>
      <c r="W46" s="303"/>
      <c r="X46" s="303"/>
      <c r="Y46" s="338">
        <v>40</v>
      </c>
      <c r="Z46" s="338">
        <f>(K46*17697*40%)/16/2</f>
        <v>4645.4625000000005</v>
      </c>
      <c r="AA46" s="338"/>
      <c r="AB46" s="338"/>
      <c r="AC46" s="303"/>
      <c r="AD46" s="303"/>
      <c r="AE46" s="303">
        <f t="shared" si="13"/>
        <v>72120.805312499986</v>
      </c>
      <c r="AF46" s="338"/>
      <c r="AG46" s="338"/>
      <c r="AH46" s="303"/>
      <c r="AI46" s="303"/>
      <c r="AJ46" s="303"/>
      <c r="AK46" s="303"/>
      <c r="AL46" s="303"/>
      <c r="AM46" s="303">
        <f t="shared" si="14"/>
        <v>341209.22062499996</v>
      </c>
      <c r="AN46" s="303">
        <f t="shared" si="15"/>
        <v>4094.5106474999993</v>
      </c>
      <c r="AO46" s="246"/>
    </row>
    <row r="47" spans="1:41" s="247" customFormat="1" ht="30" customHeight="1" x14ac:dyDescent="0.2">
      <c r="A47" s="304">
        <v>30</v>
      </c>
      <c r="B47" s="326"/>
      <c r="C47" s="330" t="s">
        <v>655</v>
      </c>
      <c r="D47" s="331" t="s">
        <v>37</v>
      </c>
      <c r="E47" s="332" t="s">
        <v>609</v>
      </c>
      <c r="F47" s="333">
        <v>3.01</v>
      </c>
      <c r="G47" s="334">
        <v>4.2300000000000004</v>
      </c>
      <c r="H47" s="257">
        <v>17697</v>
      </c>
      <c r="I47" s="257">
        <v>2</v>
      </c>
      <c r="J47" s="303">
        <f t="shared" si="8"/>
        <v>149716.62000000002</v>
      </c>
      <c r="K47" s="337">
        <f t="shared" si="9"/>
        <v>16</v>
      </c>
      <c r="L47" s="380"/>
      <c r="M47" s="338"/>
      <c r="N47" s="380">
        <v>10</v>
      </c>
      <c r="O47" s="338">
        <f t="shared" si="16"/>
        <v>93572.887500000012</v>
      </c>
      <c r="P47" s="380">
        <v>6</v>
      </c>
      <c r="Q47" s="303">
        <f t="shared" si="17"/>
        <v>56143.732500000013</v>
      </c>
      <c r="R47" s="303">
        <f t="shared" si="10"/>
        <v>37429.155000000006</v>
      </c>
      <c r="S47" s="303">
        <f t="shared" si="11"/>
        <v>187145.77500000002</v>
      </c>
      <c r="T47" s="303">
        <f t="shared" si="12"/>
        <v>18714.577500000003</v>
      </c>
      <c r="U47" s="303"/>
      <c r="V47" s="303"/>
      <c r="W47" s="303">
        <v>60</v>
      </c>
      <c r="X47" s="303">
        <v>10618</v>
      </c>
      <c r="Y47" s="338"/>
      <c r="Z47" s="338"/>
      <c r="AA47" s="338"/>
      <c r="AB47" s="338"/>
      <c r="AC47" s="303"/>
      <c r="AD47" s="303"/>
      <c r="AE47" s="303">
        <f t="shared" si="13"/>
        <v>56143.732500000006</v>
      </c>
      <c r="AF47" s="338"/>
      <c r="AG47" s="338"/>
      <c r="AH47" s="303"/>
      <c r="AI47" s="303"/>
      <c r="AJ47" s="303"/>
      <c r="AK47" s="303"/>
      <c r="AL47" s="303"/>
      <c r="AM47" s="303">
        <f t="shared" si="14"/>
        <v>272622.08500000002</v>
      </c>
      <c r="AN47" s="303">
        <f t="shared" si="15"/>
        <v>3271.4650200000005</v>
      </c>
      <c r="AO47" s="246"/>
    </row>
    <row r="48" spans="1:41" s="247" customFormat="1" ht="30" customHeight="1" x14ac:dyDescent="0.2">
      <c r="A48" s="304">
        <v>31</v>
      </c>
      <c r="B48" s="326"/>
      <c r="C48" s="330" t="s">
        <v>656</v>
      </c>
      <c r="D48" s="331" t="s">
        <v>37</v>
      </c>
      <c r="E48" s="332" t="s">
        <v>609</v>
      </c>
      <c r="F48" s="333">
        <v>3.01</v>
      </c>
      <c r="G48" s="334">
        <v>4.2300000000000004</v>
      </c>
      <c r="H48" s="257">
        <v>17697</v>
      </c>
      <c r="I48" s="257">
        <v>2</v>
      </c>
      <c r="J48" s="303">
        <f t="shared" si="8"/>
        <v>149716.62000000002</v>
      </c>
      <c r="K48" s="337">
        <f t="shared" si="9"/>
        <v>13</v>
      </c>
      <c r="L48" s="380"/>
      <c r="M48" s="338"/>
      <c r="N48" s="380">
        <v>11</v>
      </c>
      <c r="O48" s="338">
        <f t="shared" si="16"/>
        <v>102930.17625000002</v>
      </c>
      <c r="P48" s="380">
        <v>2</v>
      </c>
      <c r="Q48" s="303">
        <f t="shared" si="17"/>
        <v>18714.577500000003</v>
      </c>
      <c r="R48" s="303">
        <f t="shared" si="10"/>
        <v>30411.188437500005</v>
      </c>
      <c r="S48" s="303">
        <f t="shared" si="11"/>
        <v>152055.94218750001</v>
      </c>
      <c r="T48" s="303">
        <f t="shared" si="12"/>
        <v>15205.594218750002</v>
      </c>
      <c r="U48" s="303"/>
      <c r="V48" s="303"/>
      <c r="W48" s="303"/>
      <c r="X48" s="303"/>
      <c r="Y48" s="338">
        <v>40</v>
      </c>
      <c r="Z48" s="338">
        <f>(12*17697*40%)/16</f>
        <v>5309.1</v>
      </c>
      <c r="AA48" s="338"/>
      <c r="AB48" s="338"/>
      <c r="AC48" s="303"/>
      <c r="AD48" s="303"/>
      <c r="AE48" s="303">
        <f t="shared" si="13"/>
        <v>45616.782656250005</v>
      </c>
      <c r="AF48" s="338">
        <v>1</v>
      </c>
      <c r="AG48" s="338">
        <f t="shared" si="22"/>
        <v>442</v>
      </c>
      <c r="AH48" s="303"/>
      <c r="AI48" s="303"/>
      <c r="AJ48" s="303"/>
      <c r="AK48" s="303"/>
      <c r="AL48" s="303"/>
      <c r="AM48" s="303">
        <f t="shared" si="14"/>
        <v>218629.4190625</v>
      </c>
      <c r="AN48" s="303">
        <f t="shared" si="15"/>
        <v>2623.5530287500001</v>
      </c>
      <c r="AO48" s="246"/>
    </row>
    <row r="49" spans="1:41" s="247" customFormat="1" ht="30" customHeight="1" x14ac:dyDescent="0.2">
      <c r="A49" s="304">
        <v>32</v>
      </c>
      <c r="B49" s="326"/>
      <c r="C49" s="330" t="s">
        <v>736</v>
      </c>
      <c r="D49" s="331" t="s">
        <v>37</v>
      </c>
      <c r="E49" s="332" t="s">
        <v>609</v>
      </c>
      <c r="F49" s="333">
        <v>12.01</v>
      </c>
      <c r="G49" s="334">
        <v>4.38</v>
      </c>
      <c r="H49" s="257">
        <v>17697</v>
      </c>
      <c r="I49" s="257">
        <v>2</v>
      </c>
      <c r="J49" s="303">
        <f t="shared" si="8"/>
        <v>155025.72</v>
      </c>
      <c r="K49" s="337">
        <f t="shared" si="9"/>
        <v>6</v>
      </c>
      <c r="L49" s="380"/>
      <c r="M49" s="338"/>
      <c r="N49" s="380">
        <v>6</v>
      </c>
      <c r="O49" s="338">
        <f t="shared" ref="O49" si="32">N49*J49/16</f>
        <v>58134.645000000004</v>
      </c>
      <c r="P49" s="380"/>
      <c r="Q49" s="303"/>
      <c r="R49" s="303">
        <f t="shared" si="10"/>
        <v>14533.661250000001</v>
      </c>
      <c r="S49" s="303">
        <f t="shared" si="11"/>
        <v>72668.306250000009</v>
      </c>
      <c r="T49" s="303">
        <f t="shared" si="12"/>
        <v>7266.8306250000014</v>
      </c>
      <c r="U49" s="303"/>
      <c r="V49" s="303"/>
      <c r="W49" s="303"/>
      <c r="X49" s="303"/>
      <c r="Y49" s="338"/>
      <c r="Z49" s="338"/>
      <c r="AA49" s="338"/>
      <c r="AB49" s="338"/>
      <c r="AC49" s="303"/>
      <c r="AD49" s="303"/>
      <c r="AE49" s="303">
        <f t="shared" si="13"/>
        <v>21800.491875000003</v>
      </c>
      <c r="AF49" s="338">
        <v>2</v>
      </c>
      <c r="AG49" s="338">
        <f t="shared" si="22"/>
        <v>884</v>
      </c>
      <c r="AH49" s="303"/>
      <c r="AI49" s="303"/>
      <c r="AJ49" s="303"/>
      <c r="AK49" s="303"/>
      <c r="AL49" s="303"/>
      <c r="AM49" s="303">
        <f t="shared" si="14"/>
        <v>102619.62875000002</v>
      </c>
      <c r="AN49" s="303">
        <f t="shared" si="15"/>
        <v>1231.435545</v>
      </c>
      <c r="AO49" s="246"/>
    </row>
    <row r="50" spans="1:41" s="2" customFormat="1" ht="30" customHeight="1" x14ac:dyDescent="0.2">
      <c r="A50" s="304">
        <v>33</v>
      </c>
      <c r="B50" s="326"/>
      <c r="C50" s="330" t="s">
        <v>642</v>
      </c>
      <c r="D50" s="331" t="s">
        <v>37</v>
      </c>
      <c r="E50" s="332" t="s">
        <v>609</v>
      </c>
      <c r="F50" s="333">
        <v>1</v>
      </c>
      <c r="G50" s="334">
        <v>4.0999999999999996</v>
      </c>
      <c r="H50" s="257">
        <v>17697</v>
      </c>
      <c r="I50" s="257">
        <v>2</v>
      </c>
      <c r="J50" s="303">
        <f t="shared" si="8"/>
        <v>145115.4</v>
      </c>
      <c r="K50" s="337">
        <f t="shared" si="9"/>
        <v>13</v>
      </c>
      <c r="L50" s="380"/>
      <c r="M50" s="338"/>
      <c r="N50" s="380">
        <v>12</v>
      </c>
      <c r="O50" s="338">
        <f t="shared" si="16"/>
        <v>108836.54999999999</v>
      </c>
      <c r="P50" s="380">
        <v>1</v>
      </c>
      <c r="Q50" s="338">
        <f t="shared" si="17"/>
        <v>9069.7124999999996</v>
      </c>
      <c r="R50" s="303">
        <f t="shared" si="10"/>
        <v>29476.565624999996</v>
      </c>
      <c r="S50" s="303">
        <f t="shared" si="11"/>
        <v>147382.82812499997</v>
      </c>
      <c r="T50" s="303">
        <f t="shared" si="12"/>
        <v>14738.282812499998</v>
      </c>
      <c r="U50" s="338"/>
      <c r="V50" s="338"/>
      <c r="W50" s="338"/>
      <c r="X50" s="338"/>
      <c r="Y50" s="338"/>
      <c r="Z50" s="338"/>
      <c r="AA50" s="338">
        <v>50</v>
      </c>
      <c r="AB50" s="338">
        <f>(5*17697*50%)/16</f>
        <v>2765.15625</v>
      </c>
      <c r="AC50" s="338"/>
      <c r="AD50" s="338"/>
      <c r="AE50" s="303">
        <f t="shared" si="13"/>
        <v>44214.848437499997</v>
      </c>
      <c r="AF50" s="338">
        <v>7</v>
      </c>
      <c r="AG50" s="338">
        <f t="shared" si="22"/>
        <v>3094</v>
      </c>
      <c r="AH50" s="338"/>
      <c r="AI50" s="338"/>
      <c r="AJ50" s="303"/>
      <c r="AK50" s="303"/>
      <c r="AL50" s="303"/>
      <c r="AM50" s="303">
        <f t="shared" si="14"/>
        <v>212195.11562499998</v>
      </c>
      <c r="AN50" s="303">
        <f t="shared" si="15"/>
        <v>2546.3413874999997</v>
      </c>
      <c r="AO50" s="204"/>
    </row>
    <row r="51" spans="1:41" s="2" customFormat="1" ht="30" customHeight="1" x14ac:dyDescent="0.2">
      <c r="A51" s="304">
        <v>34</v>
      </c>
      <c r="B51" s="326"/>
      <c r="C51" s="330" t="s">
        <v>646</v>
      </c>
      <c r="D51" s="331" t="s">
        <v>37</v>
      </c>
      <c r="E51" s="332" t="s">
        <v>615</v>
      </c>
      <c r="F51" s="333">
        <v>7.01</v>
      </c>
      <c r="G51" s="334">
        <v>4.74</v>
      </c>
      <c r="H51" s="257">
        <v>17697</v>
      </c>
      <c r="I51" s="257">
        <v>2</v>
      </c>
      <c r="J51" s="303">
        <f t="shared" si="8"/>
        <v>167767.56</v>
      </c>
      <c r="K51" s="337">
        <f t="shared" si="9"/>
        <v>19</v>
      </c>
      <c r="L51" s="380">
        <v>19</v>
      </c>
      <c r="M51" s="338">
        <f t="shared" ref="M51" si="33">L51*J51/16</f>
        <v>199223.97750000001</v>
      </c>
      <c r="N51" s="380"/>
      <c r="O51" s="338"/>
      <c r="P51" s="380"/>
      <c r="Q51" s="303"/>
      <c r="R51" s="303">
        <f t="shared" si="10"/>
        <v>49805.994375000002</v>
      </c>
      <c r="S51" s="303">
        <f t="shared" si="11"/>
        <v>249029.97187500002</v>
      </c>
      <c r="T51" s="303">
        <f t="shared" si="12"/>
        <v>24902.997187500005</v>
      </c>
      <c r="U51" s="303">
        <v>50</v>
      </c>
      <c r="V51" s="303">
        <v>8848</v>
      </c>
      <c r="W51" s="303"/>
      <c r="X51" s="303"/>
      <c r="Y51" s="338">
        <v>40</v>
      </c>
      <c r="Z51" s="338">
        <f>(11*17697*40%)/16</f>
        <v>4866.6750000000002</v>
      </c>
      <c r="AA51" s="338"/>
      <c r="AB51" s="338"/>
      <c r="AC51" s="303">
        <v>36920</v>
      </c>
      <c r="AD51" s="303"/>
      <c r="AE51" s="303">
        <f t="shared" si="13"/>
        <v>74708.991562499999</v>
      </c>
      <c r="AF51" s="338">
        <v>2</v>
      </c>
      <c r="AG51" s="338">
        <f t="shared" si="22"/>
        <v>884</v>
      </c>
      <c r="AH51" s="303"/>
      <c r="AI51" s="303">
        <f>S51*0.3</f>
        <v>74708.991562499999</v>
      </c>
      <c r="AJ51" s="303"/>
      <c r="AK51" s="303"/>
      <c r="AL51" s="303"/>
      <c r="AM51" s="303">
        <f t="shared" si="14"/>
        <v>474869.62718750007</v>
      </c>
      <c r="AN51" s="303">
        <f t="shared" si="15"/>
        <v>5698.4355262500012</v>
      </c>
      <c r="AO51" s="204"/>
    </row>
    <row r="52" spans="1:41" s="2" customFormat="1" ht="30" customHeight="1" x14ac:dyDescent="0.2">
      <c r="A52" s="304">
        <v>35</v>
      </c>
      <c r="B52" s="326"/>
      <c r="C52" s="330" t="s">
        <v>617</v>
      </c>
      <c r="D52" s="331" t="s">
        <v>37</v>
      </c>
      <c r="E52" s="332" t="s">
        <v>608</v>
      </c>
      <c r="F52" s="333">
        <v>6.01</v>
      </c>
      <c r="G52" s="334">
        <v>4.2699999999999996</v>
      </c>
      <c r="H52" s="257">
        <v>17697</v>
      </c>
      <c r="I52" s="257">
        <v>2</v>
      </c>
      <c r="J52" s="303">
        <f t="shared" si="8"/>
        <v>151132.37999999998</v>
      </c>
      <c r="K52" s="337">
        <f t="shared" si="9"/>
        <v>15</v>
      </c>
      <c r="L52" s="380"/>
      <c r="M52" s="338"/>
      <c r="N52" s="380">
        <v>11</v>
      </c>
      <c r="O52" s="338">
        <f t="shared" si="16"/>
        <v>103903.51124999998</v>
      </c>
      <c r="P52" s="380">
        <v>4</v>
      </c>
      <c r="Q52" s="338">
        <f t="shared" si="17"/>
        <v>37783.094999999994</v>
      </c>
      <c r="R52" s="303">
        <f t="shared" si="10"/>
        <v>35421.651562499996</v>
      </c>
      <c r="S52" s="303">
        <f t="shared" si="11"/>
        <v>177108.25781249997</v>
      </c>
      <c r="T52" s="303">
        <f t="shared" si="12"/>
        <v>17710.825781249998</v>
      </c>
      <c r="U52" s="338"/>
      <c r="V52" s="338"/>
      <c r="W52" s="338">
        <v>60</v>
      </c>
      <c r="X52" s="338">
        <v>10618</v>
      </c>
      <c r="Y52" s="338">
        <v>40</v>
      </c>
      <c r="Z52" s="338">
        <f>(14*17697*40%)/16</f>
        <v>6193.9500000000007</v>
      </c>
      <c r="AA52" s="338"/>
      <c r="AB52" s="338"/>
      <c r="AC52" s="338"/>
      <c r="AD52" s="338"/>
      <c r="AE52" s="303">
        <f t="shared" si="13"/>
        <v>53132.47734374999</v>
      </c>
      <c r="AF52" s="338">
        <v>1</v>
      </c>
      <c r="AG52" s="338">
        <f t="shared" si="22"/>
        <v>442</v>
      </c>
      <c r="AH52" s="338">
        <v>3539</v>
      </c>
      <c r="AI52" s="338"/>
      <c r="AJ52" s="338"/>
      <c r="AK52" s="338"/>
      <c r="AL52" s="338"/>
      <c r="AM52" s="303">
        <f t="shared" si="14"/>
        <v>268744.51093749999</v>
      </c>
      <c r="AN52" s="303">
        <f t="shared" si="15"/>
        <v>3224.9341312499996</v>
      </c>
      <c r="AO52" s="204"/>
    </row>
    <row r="53" spans="1:41" s="2" customFormat="1" ht="30" customHeight="1" x14ac:dyDescent="0.2">
      <c r="A53" s="304">
        <v>36</v>
      </c>
      <c r="B53" s="326"/>
      <c r="C53" s="330" t="s">
        <v>617</v>
      </c>
      <c r="D53" s="331" t="s">
        <v>37</v>
      </c>
      <c r="E53" s="332" t="s">
        <v>614</v>
      </c>
      <c r="F53" s="333">
        <v>38.090000000000003</v>
      </c>
      <c r="G53" s="334">
        <v>5.2</v>
      </c>
      <c r="H53" s="257">
        <v>17697</v>
      </c>
      <c r="I53" s="257">
        <v>2</v>
      </c>
      <c r="J53" s="303">
        <f t="shared" si="8"/>
        <v>184048.80000000002</v>
      </c>
      <c r="K53" s="337">
        <f t="shared" si="9"/>
        <v>18</v>
      </c>
      <c r="L53" s="380"/>
      <c r="M53" s="338"/>
      <c r="N53" s="380">
        <v>11</v>
      </c>
      <c r="O53" s="338">
        <f t="shared" si="16"/>
        <v>126533.55000000002</v>
      </c>
      <c r="P53" s="380">
        <v>7</v>
      </c>
      <c r="Q53" s="338">
        <f t="shared" si="17"/>
        <v>80521.350000000006</v>
      </c>
      <c r="R53" s="303">
        <f t="shared" si="10"/>
        <v>51763.725000000006</v>
      </c>
      <c r="S53" s="303">
        <f t="shared" si="11"/>
        <v>258818.62500000003</v>
      </c>
      <c r="T53" s="303">
        <f t="shared" si="12"/>
        <v>25881.862500000003</v>
      </c>
      <c r="U53" s="338"/>
      <c r="V53" s="338"/>
      <c r="W53" s="338"/>
      <c r="X53" s="338"/>
      <c r="Y53" s="338">
        <v>40</v>
      </c>
      <c r="Z53" s="338">
        <f>(16*17697*40%)/16</f>
        <v>7078.8</v>
      </c>
      <c r="AA53" s="338"/>
      <c r="AB53" s="338"/>
      <c r="AC53" s="338"/>
      <c r="AD53" s="338"/>
      <c r="AE53" s="303">
        <f t="shared" si="13"/>
        <v>77645.587500000009</v>
      </c>
      <c r="AF53" s="338">
        <v>1</v>
      </c>
      <c r="AG53" s="338">
        <f t="shared" si="22"/>
        <v>442</v>
      </c>
      <c r="AH53" s="338"/>
      <c r="AI53" s="338"/>
      <c r="AJ53" s="338">
        <f t="shared" si="21"/>
        <v>90586.518750000003</v>
      </c>
      <c r="AK53" s="338"/>
      <c r="AL53" s="338"/>
      <c r="AM53" s="303">
        <f t="shared" si="14"/>
        <v>460453.39375000005</v>
      </c>
      <c r="AN53" s="303">
        <f t="shared" si="15"/>
        <v>5525.4407250000004</v>
      </c>
      <c r="AO53" s="204"/>
    </row>
    <row r="54" spans="1:41" s="2" customFormat="1" ht="30" customHeight="1" x14ac:dyDescent="0.2">
      <c r="A54" s="304">
        <v>37</v>
      </c>
      <c r="B54" s="326"/>
      <c r="C54" s="330" t="s">
        <v>646</v>
      </c>
      <c r="D54" s="331" t="s">
        <v>37</v>
      </c>
      <c r="E54" s="332" t="s">
        <v>608</v>
      </c>
      <c r="F54" s="333">
        <v>10.01</v>
      </c>
      <c r="G54" s="334">
        <v>4.38</v>
      </c>
      <c r="H54" s="257">
        <v>17697</v>
      </c>
      <c r="I54" s="257">
        <v>2</v>
      </c>
      <c r="J54" s="303">
        <f t="shared" si="8"/>
        <v>155025.72</v>
      </c>
      <c r="K54" s="337">
        <f t="shared" si="9"/>
        <v>18</v>
      </c>
      <c r="L54" s="380">
        <v>18</v>
      </c>
      <c r="M54" s="338">
        <f t="shared" si="19"/>
        <v>174403.935</v>
      </c>
      <c r="N54" s="380"/>
      <c r="O54" s="338"/>
      <c r="P54" s="380"/>
      <c r="Q54" s="338"/>
      <c r="R54" s="303">
        <f t="shared" si="10"/>
        <v>43600.983749999999</v>
      </c>
      <c r="S54" s="303">
        <f t="shared" si="11"/>
        <v>218004.91875000001</v>
      </c>
      <c r="T54" s="303">
        <f t="shared" si="12"/>
        <v>21800.491875000003</v>
      </c>
      <c r="U54" s="338">
        <v>50</v>
      </c>
      <c r="V54" s="338">
        <v>8848</v>
      </c>
      <c r="W54" s="338"/>
      <c r="X54" s="338"/>
      <c r="Y54" s="338">
        <v>40</v>
      </c>
      <c r="Z54" s="338">
        <f>(10*17697*40%)/16</f>
        <v>4424.25</v>
      </c>
      <c r="AA54" s="338"/>
      <c r="AB54" s="338"/>
      <c r="AC54" s="338"/>
      <c r="AD54" s="338"/>
      <c r="AE54" s="303">
        <f t="shared" si="13"/>
        <v>65401.475624999999</v>
      </c>
      <c r="AF54" s="338">
        <v>2</v>
      </c>
      <c r="AG54" s="338">
        <f t="shared" si="22"/>
        <v>884</v>
      </c>
      <c r="AH54" s="338"/>
      <c r="AI54" s="338"/>
      <c r="AJ54" s="338"/>
      <c r="AK54" s="338"/>
      <c r="AL54" s="338"/>
      <c r="AM54" s="303">
        <f t="shared" si="14"/>
        <v>319363.13625000004</v>
      </c>
      <c r="AN54" s="303">
        <f t="shared" si="15"/>
        <v>3832.3576350000008</v>
      </c>
      <c r="AO54" s="204"/>
    </row>
    <row r="55" spans="1:41" s="2" customFormat="1" ht="30" customHeight="1" x14ac:dyDescent="0.2">
      <c r="A55" s="304">
        <v>38</v>
      </c>
      <c r="B55" s="326"/>
      <c r="C55" s="330" t="s">
        <v>39</v>
      </c>
      <c r="D55" s="331" t="s">
        <v>37</v>
      </c>
      <c r="E55" s="332" t="s">
        <v>616</v>
      </c>
      <c r="F55" s="333">
        <v>10</v>
      </c>
      <c r="G55" s="334">
        <v>4.79</v>
      </c>
      <c r="H55" s="257">
        <v>17697</v>
      </c>
      <c r="I55" s="257">
        <v>2</v>
      </c>
      <c r="J55" s="303">
        <f t="shared" si="8"/>
        <v>169537.26</v>
      </c>
      <c r="K55" s="337">
        <f t="shared" si="9"/>
        <v>24</v>
      </c>
      <c r="L55" s="380"/>
      <c r="M55" s="338"/>
      <c r="N55" s="380">
        <v>9</v>
      </c>
      <c r="O55" s="338">
        <f t="shared" si="16"/>
        <v>95364.708750000005</v>
      </c>
      <c r="P55" s="380">
        <v>15</v>
      </c>
      <c r="Q55" s="338">
        <f t="shared" si="17"/>
        <v>158941.18125000002</v>
      </c>
      <c r="R55" s="303">
        <f t="shared" si="10"/>
        <v>63576.472500000003</v>
      </c>
      <c r="S55" s="303">
        <f t="shared" si="11"/>
        <v>317882.36250000005</v>
      </c>
      <c r="T55" s="303">
        <f t="shared" si="12"/>
        <v>31788.236250000005</v>
      </c>
      <c r="U55" s="338"/>
      <c r="V55" s="338"/>
      <c r="W55" s="338"/>
      <c r="X55" s="338"/>
      <c r="Y55" s="338">
        <v>40</v>
      </c>
      <c r="Z55" s="338">
        <f>(K55*17697*40%)/16/2</f>
        <v>5309.1</v>
      </c>
      <c r="AA55" s="338"/>
      <c r="AB55" s="338"/>
      <c r="AC55" s="338"/>
      <c r="AD55" s="338"/>
      <c r="AE55" s="303">
        <f t="shared" si="13"/>
        <v>95364.708750000005</v>
      </c>
      <c r="AF55" s="338"/>
      <c r="AG55" s="338"/>
      <c r="AH55" s="338"/>
      <c r="AI55" s="338"/>
      <c r="AJ55" s="338">
        <f>S55*0.35</f>
        <v>111258.82687500001</v>
      </c>
      <c r="AK55" s="338"/>
      <c r="AL55" s="338"/>
      <c r="AM55" s="303">
        <f t="shared" si="14"/>
        <v>561603.234375</v>
      </c>
      <c r="AN55" s="303">
        <f t="shared" si="15"/>
        <v>6739.2388124999998</v>
      </c>
      <c r="AO55" s="204"/>
    </row>
    <row r="56" spans="1:41" s="247" customFormat="1" ht="30" customHeight="1" x14ac:dyDescent="0.2">
      <c r="A56" s="304">
        <v>39</v>
      </c>
      <c r="B56" s="326"/>
      <c r="C56" s="330" t="s">
        <v>649</v>
      </c>
      <c r="D56" s="331" t="s">
        <v>37</v>
      </c>
      <c r="E56" s="332" t="s">
        <v>614</v>
      </c>
      <c r="F56" s="333">
        <v>25.01</v>
      </c>
      <c r="G56" s="334">
        <v>5.2</v>
      </c>
      <c r="H56" s="257">
        <v>17697</v>
      </c>
      <c r="I56" s="257">
        <v>2</v>
      </c>
      <c r="J56" s="303">
        <f t="shared" si="8"/>
        <v>184048.80000000002</v>
      </c>
      <c r="K56" s="337">
        <f t="shared" si="9"/>
        <v>6</v>
      </c>
      <c r="L56" s="380"/>
      <c r="M56" s="338"/>
      <c r="N56" s="380">
        <v>6</v>
      </c>
      <c r="O56" s="338">
        <f t="shared" si="16"/>
        <v>69018.3</v>
      </c>
      <c r="P56" s="380"/>
      <c r="Q56" s="303"/>
      <c r="R56" s="303">
        <f t="shared" si="10"/>
        <v>17254.575000000001</v>
      </c>
      <c r="S56" s="303">
        <f t="shared" si="11"/>
        <v>86272.875</v>
      </c>
      <c r="T56" s="303">
        <f t="shared" si="12"/>
        <v>8627.2875000000004</v>
      </c>
      <c r="U56" s="303"/>
      <c r="V56" s="303"/>
      <c r="W56" s="303"/>
      <c r="X56" s="303"/>
      <c r="Y56" s="338"/>
      <c r="Z56" s="338"/>
      <c r="AA56" s="338"/>
      <c r="AB56" s="338"/>
      <c r="AC56" s="303"/>
      <c r="AD56" s="303"/>
      <c r="AE56" s="303">
        <f t="shared" si="13"/>
        <v>25881.862499999999</v>
      </c>
      <c r="AF56" s="338"/>
      <c r="AG56" s="338"/>
      <c r="AH56" s="303"/>
      <c r="AI56" s="303"/>
      <c r="AJ56" s="303">
        <f t="shared" si="21"/>
        <v>30195.506249999999</v>
      </c>
      <c r="AK56" s="303"/>
      <c r="AL56" s="303"/>
      <c r="AM56" s="303">
        <f t="shared" si="14"/>
        <v>150977.53125</v>
      </c>
      <c r="AN56" s="303">
        <f t="shared" si="15"/>
        <v>1811.7303750000001</v>
      </c>
      <c r="AO56" s="246"/>
    </row>
    <row r="57" spans="1:41" s="247" customFormat="1" ht="30" customHeight="1" x14ac:dyDescent="0.2">
      <c r="A57" s="304">
        <v>40</v>
      </c>
      <c r="B57" s="326"/>
      <c r="C57" s="330" t="s">
        <v>642</v>
      </c>
      <c r="D57" s="331" t="s">
        <v>37</v>
      </c>
      <c r="E57" s="332" t="s">
        <v>644</v>
      </c>
      <c r="F57" s="333">
        <v>38.04</v>
      </c>
      <c r="G57" s="334">
        <v>5.16</v>
      </c>
      <c r="H57" s="257">
        <v>17697</v>
      </c>
      <c r="I57" s="257">
        <v>2</v>
      </c>
      <c r="J57" s="303">
        <f t="shared" si="8"/>
        <v>182633.04</v>
      </c>
      <c r="K57" s="337">
        <f t="shared" si="9"/>
        <v>16</v>
      </c>
      <c r="L57" s="380"/>
      <c r="M57" s="338"/>
      <c r="N57" s="380">
        <v>15</v>
      </c>
      <c r="O57" s="338">
        <f t="shared" si="16"/>
        <v>171218.47500000001</v>
      </c>
      <c r="P57" s="380">
        <v>1</v>
      </c>
      <c r="Q57" s="303">
        <f t="shared" si="17"/>
        <v>11414.565000000001</v>
      </c>
      <c r="R57" s="303">
        <f t="shared" si="10"/>
        <v>45658.26</v>
      </c>
      <c r="S57" s="303">
        <f t="shared" si="11"/>
        <v>228291.30000000002</v>
      </c>
      <c r="T57" s="303">
        <f t="shared" si="12"/>
        <v>22829.130000000005</v>
      </c>
      <c r="U57" s="303"/>
      <c r="V57" s="303"/>
      <c r="W57" s="303"/>
      <c r="X57" s="303"/>
      <c r="Y57" s="338"/>
      <c r="Z57" s="338"/>
      <c r="AA57" s="338">
        <v>50</v>
      </c>
      <c r="AB57" s="338">
        <f>(K57*17697*50%)/16</f>
        <v>8848.5</v>
      </c>
      <c r="AC57" s="303"/>
      <c r="AD57" s="303"/>
      <c r="AE57" s="303">
        <f t="shared" si="13"/>
        <v>68487.39</v>
      </c>
      <c r="AF57" s="338"/>
      <c r="AG57" s="338"/>
      <c r="AH57" s="303"/>
      <c r="AI57" s="303">
        <f>S57*0.3</f>
        <v>68487.39</v>
      </c>
      <c r="AJ57" s="303"/>
      <c r="AK57" s="303"/>
      <c r="AL57" s="303"/>
      <c r="AM57" s="303">
        <f t="shared" si="14"/>
        <v>396943.71</v>
      </c>
      <c r="AN57" s="303">
        <f t="shared" si="15"/>
        <v>4763.3245200000001</v>
      </c>
      <c r="AO57" s="246"/>
    </row>
    <row r="58" spans="1:41" s="247" customFormat="1" ht="30" customHeight="1" x14ac:dyDescent="0.2">
      <c r="A58" s="304">
        <v>41</v>
      </c>
      <c r="B58" s="326"/>
      <c r="C58" s="330" t="s">
        <v>657</v>
      </c>
      <c r="D58" s="331" t="s">
        <v>37</v>
      </c>
      <c r="E58" s="332" t="s">
        <v>643</v>
      </c>
      <c r="F58" s="333">
        <v>29.04</v>
      </c>
      <c r="G58" s="334">
        <v>5.41</v>
      </c>
      <c r="H58" s="257">
        <v>17697</v>
      </c>
      <c r="I58" s="257">
        <v>2</v>
      </c>
      <c r="J58" s="303">
        <f t="shared" si="8"/>
        <v>191481.54</v>
      </c>
      <c r="K58" s="337">
        <f t="shared" si="9"/>
        <v>20</v>
      </c>
      <c r="L58" s="380"/>
      <c r="M58" s="338"/>
      <c r="N58" s="380">
        <v>14</v>
      </c>
      <c r="O58" s="338">
        <f t="shared" si="16"/>
        <v>167546.3475</v>
      </c>
      <c r="P58" s="380">
        <v>6</v>
      </c>
      <c r="Q58" s="303">
        <f t="shared" si="17"/>
        <v>71805.577499999999</v>
      </c>
      <c r="R58" s="303">
        <f t="shared" si="10"/>
        <v>59837.981249999997</v>
      </c>
      <c r="S58" s="303">
        <f t="shared" si="11"/>
        <v>299189.90625</v>
      </c>
      <c r="T58" s="303">
        <f t="shared" si="12"/>
        <v>29918.990625000002</v>
      </c>
      <c r="U58" s="303"/>
      <c r="V58" s="303"/>
      <c r="W58" s="303">
        <v>60</v>
      </c>
      <c r="X58" s="303">
        <v>10618</v>
      </c>
      <c r="Y58" s="338"/>
      <c r="Z58" s="338"/>
      <c r="AA58" s="338"/>
      <c r="AB58" s="338"/>
      <c r="AC58" s="303"/>
      <c r="AD58" s="303"/>
      <c r="AE58" s="303">
        <f t="shared" si="13"/>
        <v>89756.971875000003</v>
      </c>
      <c r="AF58" s="338"/>
      <c r="AG58" s="338"/>
      <c r="AH58" s="303">
        <v>3539</v>
      </c>
      <c r="AI58" s="303"/>
      <c r="AJ58" s="303"/>
      <c r="AK58" s="303">
        <f>S58*0.4</f>
        <v>119675.96250000001</v>
      </c>
      <c r="AL58" s="303"/>
      <c r="AM58" s="303">
        <f t="shared" si="14"/>
        <v>552698.83124999993</v>
      </c>
      <c r="AN58" s="303">
        <f t="shared" si="15"/>
        <v>6632.3859749999992</v>
      </c>
      <c r="AO58" s="246"/>
    </row>
    <row r="59" spans="1:41" s="247" customFormat="1" ht="30" customHeight="1" x14ac:dyDescent="0.2">
      <c r="A59" s="304">
        <v>42</v>
      </c>
      <c r="B59" s="326"/>
      <c r="C59" s="330" t="s">
        <v>646</v>
      </c>
      <c r="D59" s="331" t="s">
        <v>37</v>
      </c>
      <c r="E59" s="332" t="s">
        <v>615</v>
      </c>
      <c r="F59" s="333">
        <v>31.01</v>
      </c>
      <c r="G59" s="334">
        <v>5.16</v>
      </c>
      <c r="H59" s="257">
        <v>17697</v>
      </c>
      <c r="I59" s="257">
        <v>2</v>
      </c>
      <c r="J59" s="303">
        <f t="shared" si="8"/>
        <v>182633.04</v>
      </c>
      <c r="K59" s="337">
        <f t="shared" si="9"/>
        <v>16</v>
      </c>
      <c r="L59" s="380">
        <v>15</v>
      </c>
      <c r="M59" s="338">
        <f t="shared" si="19"/>
        <v>171218.47500000001</v>
      </c>
      <c r="N59" s="380">
        <v>1</v>
      </c>
      <c r="O59" s="338">
        <f t="shared" si="16"/>
        <v>11414.565000000001</v>
      </c>
      <c r="P59" s="380"/>
      <c r="Q59" s="303"/>
      <c r="R59" s="303">
        <f t="shared" si="10"/>
        <v>45658.26</v>
      </c>
      <c r="S59" s="303">
        <f t="shared" si="11"/>
        <v>228291.30000000002</v>
      </c>
      <c r="T59" s="303">
        <f t="shared" si="12"/>
        <v>22829.130000000005</v>
      </c>
      <c r="U59" s="303"/>
      <c r="V59" s="303"/>
      <c r="W59" s="303"/>
      <c r="X59" s="303"/>
      <c r="Y59" s="338"/>
      <c r="Z59" s="338"/>
      <c r="AA59" s="338"/>
      <c r="AB59" s="338"/>
      <c r="AC59" s="303"/>
      <c r="AD59" s="303"/>
      <c r="AE59" s="303">
        <f t="shared" si="13"/>
        <v>68487.39</v>
      </c>
      <c r="AF59" s="338">
        <v>15</v>
      </c>
      <c r="AG59" s="338">
        <f t="shared" si="22"/>
        <v>6630</v>
      </c>
      <c r="AH59" s="303"/>
      <c r="AI59" s="303">
        <f>S59*0.3</f>
        <v>68487.39</v>
      </c>
      <c r="AJ59" s="303"/>
      <c r="AK59" s="303"/>
      <c r="AL59" s="303"/>
      <c r="AM59" s="303">
        <f t="shared" si="14"/>
        <v>394725.21</v>
      </c>
      <c r="AN59" s="303">
        <f t="shared" si="15"/>
        <v>4736.7025200000007</v>
      </c>
      <c r="AO59" s="246"/>
    </row>
    <row r="60" spans="1:41" s="247" customFormat="1" ht="30" customHeight="1" x14ac:dyDescent="0.2">
      <c r="A60" s="304">
        <v>43</v>
      </c>
      <c r="B60" s="326"/>
      <c r="C60" s="330" t="s">
        <v>648</v>
      </c>
      <c r="D60" s="331" t="s">
        <v>37</v>
      </c>
      <c r="E60" s="332" t="s">
        <v>614</v>
      </c>
      <c r="F60" s="333">
        <v>29.04</v>
      </c>
      <c r="G60" s="334">
        <v>5.2</v>
      </c>
      <c r="H60" s="257">
        <v>17697</v>
      </c>
      <c r="I60" s="257">
        <v>2</v>
      </c>
      <c r="J60" s="303">
        <f t="shared" si="8"/>
        <v>184048.80000000002</v>
      </c>
      <c r="K60" s="337">
        <f t="shared" si="9"/>
        <v>16</v>
      </c>
      <c r="L60" s="380"/>
      <c r="M60" s="338"/>
      <c r="N60" s="380">
        <v>15</v>
      </c>
      <c r="O60" s="338">
        <f t="shared" si="16"/>
        <v>172545.75000000003</v>
      </c>
      <c r="P60" s="380">
        <v>1</v>
      </c>
      <c r="Q60" s="303">
        <f t="shared" ref="Q60:Q106" si="34">P60*J60/16</f>
        <v>11503.050000000001</v>
      </c>
      <c r="R60" s="303">
        <f t="shared" si="10"/>
        <v>46012.200000000004</v>
      </c>
      <c r="S60" s="303">
        <f t="shared" si="11"/>
        <v>230061.00000000003</v>
      </c>
      <c r="T60" s="303">
        <f t="shared" si="12"/>
        <v>23006.100000000006</v>
      </c>
      <c r="U60" s="303"/>
      <c r="V60" s="303"/>
      <c r="W60" s="303"/>
      <c r="X60" s="303"/>
      <c r="Y60" s="338"/>
      <c r="Z60" s="338"/>
      <c r="AA60" s="338"/>
      <c r="AB60" s="338"/>
      <c r="AC60" s="303"/>
      <c r="AD60" s="303"/>
      <c r="AE60" s="303">
        <f t="shared" si="13"/>
        <v>69018.3</v>
      </c>
      <c r="AF60" s="338">
        <v>3</v>
      </c>
      <c r="AG60" s="338">
        <f t="shared" si="22"/>
        <v>1326</v>
      </c>
      <c r="AH60" s="303"/>
      <c r="AI60" s="303"/>
      <c r="AJ60" s="303">
        <f t="shared" si="21"/>
        <v>80521.350000000006</v>
      </c>
      <c r="AK60" s="303"/>
      <c r="AL60" s="303"/>
      <c r="AM60" s="303">
        <f t="shared" si="14"/>
        <v>403932.75</v>
      </c>
      <c r="AN60" s="303">
        <f t="shared" si="15"/>
        <v>4847.1930000000002</v>
      </c>
      <c r="AO60" s="246"/>
    </row>
    <row r="61" spans="1:41" s="2" customFormat="1" ht="30" customHeight="1" x14ac:dyDescent="0.2">
      <c r="A61" s="304">
        <v>44</v>
      </c>
      <c r="B61" s="326"/>
      <c r="C61" s="330" t="s">
        <v>658</v>
      </c>
      <c r="D61" s="331" t="s">
        <v>37</v>
      </c>
      <c r="E61" s="332" t="s">
        <v>608</v>
      </c>
      <c r="F61" s="333">
        <v>29.04</v>
      </c>
      <c r="G61" s="334">
        <v>4.7300000000000004</v>
      </c>
      <c r="H61" s="257">
        <v>17697</v>
      </c>
      <c r="I61" s="257">
        <v>2</v>
      </c>
      <c r="J61" s="303">
        <f t="shared" si="8"/>
        <v>167413.62000000002</v>
      </c>
      <c r="K61" s="337">
        <f t="shared" si="9"/>
        <v>3</v>
      </c>
      <c r="L61" s="380"/>
      <c r="M61" s="338"/>
      <c r="N61" s="380">
        <v>3</v>
      </c>
      <c r="O61" s="338">
        <f t="shared" si="16"/>
        <v>31390.053750000006</v>
      </c>
      <c r="P61" s="380"/>
      <c r="Q61" s="338"/>
      <c r="R61" s="303">
        <f t="shared" si="10"/>
        <v>7847.5134375000016</v>
      </c>
      <c r="S61" s="303">
        <f t="shared" si="11"/>
        <v>39237.567187500012</v>
      </c>
      <c r="T61" s="303">
        <f t="shared" si="12"/>
        <v>3923.7567187500013</v>
      </c>
      <c r="U61" s="338"/>
      <c r="V61" s="338"/>
      <c r="W61" s="338"/>
      <c r="X61" s="338"/>
      <c r="Y61" s="338"/>
      <c r="Z61" s="338"/>
      <c r="AA61" s="338"/>
      <c r="AB61" s="338"/>
      <c r="AC61" s="338"/>
      <c r="AD61" s="338"/>
      <c r="AE61" s="303">
        <f t="shared" si="13"/>
        <v>11771.270156250002</v>
      </c>
      <c r="AF61" s="338"/>
      <c r="AG61" s="338"/>
      <c r="AH61" s="338"/>
      <c r="AI61" s="338"/>
      <c r="AJ61" s="338"/>
      <c r="AK61" s="338"/>
      <c r="AL61" s="338"/>
      <c r="AM61" s="303">
        <f t="shared" si="14"/>
        <v>54932.594062500015</v>
      </c>
      <c r="AN61" s="303">
        <f t="shared" si="15"/>
        <v>659.19112875000019</v>
      </c>
      <c r="AO61" s="204"/>
    </row>
    <row r="62" spans="1:41" s="247" customFormat="1" ht="30" customHeight="1" x14ac:dyDescent="0.2">
      <c r="A62" s="304">
        <v>45</v>
      </c>
      <c r="B62" s="326"/>
      <c r="C62" s="330" t="s">
        <v>661</v>
      </c>
      <c r="D62" s="331" t="s">
        <v>37</v>
      </c>
      <c r="E62" s="332" t="s">
        <v>730</v>
      </c>
      <c r="F62" s="333">
        <v>31.05</v>
      </c>
      <c r="G62" s="334">
        <v>5.41</v>
      </c>
      <c r="H62" s="257">
        <v>17697</v>
      </c>
      <c r="I62" s="257">
        <v>2</v>
      </c>
      <c r="J62" s="303">
        <f t="shared" si="8"/>
        <v>191481.54</v>
      </c>
      <c r="K62" s="337">
        <f t="shared" si="9"/>
        <v>18</v>
      </c>
      <c r="L62" s="380"/>
      <c r="M62" s="338"/>
      <c r="N62" s="380">
        <v>18</v>
      </c>
      <c r="O62" s="338">
        <f t="shared" si="16"/>
        <v>215416.73250000001</v>
      </c>
      <c r="P62" s="380"/>
      <c r="Q62" s="303"/>
      <c r="R62" s="303">
        <f t="shared" si="10"/>
        <v>53854.183125000003</v>
      </c>
      <c r="S62" s="303">
        <f t="shared" si="11"/>
        <v>269270.91562500002</v>
      </c>
      <c r="T62" s="303">
        <f t="shared" si="12"/>
        <v>26927.091562500005</v>
      </c>
      <c r="U62" s="303"/>
      <c r="V62" s="303"/>
      <c r="W62" s="303"/>
      <c r="X62" s="303"/>
      <c r="Y62" s="338"/>
      <c r="Z62" s="338"/>
      <c r="AA62" s="338"/>
      <c r="AB62" s="338"/>
      <c r="AC62" s="303"/>
      <c r="AD62" s="303"/>
      <c r="AE62" s="303">
        <f t="shared" si="13"/>
        <v>80781.274687500001</v>
      </c>
      <c r="AF62" s="338"/>
      <c r="AG62" s="338"/>
      <c r="AH62" s="303"/>
      <c r="AI62" s="303"/>
      <c r="AJ62" s="303"/>
      <c r="AK62" s="303">
        <f>S62*0.4</f>
        <v>107708.36625000002</v>
      </c>
      <c r="AL62" s="303"/>
      <c r="AM62" s="303">
        <f t="shared" si="14"/>
        <v>484687.64812500001</v>
      </c>
      <c r="AN62" s="303">
        <f t="shared" si="15"/>
        <v>5816.2517774999997</v>
      </c>
      <c r="AO62" s="246"/>
    </row>
    <row r="63" spans="1:41" s="247" customFormat="1" ht="30" customHeight="1" x14ac:dyDescent="0.2">
      <c r="A63" s="304">
        <v>46</v>
      </c>
      <c r="B63" s="326"/>
      <c r="C63" s="330" t="s">
        <v>651</v>
      </c>
      <c r="D63" s="331" t="s">
        <v>37</v>
      </c>
      <c r="E63" s="332" t="s">
        <v>609</v>
      </c>
      <c r="F63" s="333">
        <v>3.01</v>
      </c>
      <c r="G63" s="334">
        <v>4.2300000000000004</v>
      </c>
      <c r="H63" s="257">
        <v>17697</v>
      </c>
      <c r="I63" s="257">
        <v>2</v>
      </c>
      <c r="J63" s="303">
        <f t="shared" si="8"/>
        <v>149716.62000000002</v>
      </c>
      <c r="K63" s="337">
        <f t="shared" si="9"/>
        <v>21</v>
      </c>
      <c r="L63" s="380">
        <v>7</v>
      </c>
      <c r="M63" s="338">
        <f t="shared" si="19"/>
        <v>65501.021250000013</v>
      </c>
      <c r="N63" s="380">
        <v>12</v>
      </c>
      <c r="O63" s="338">
        <f t="shared" si="16"/>
        <v>112287.46500000003</v>
      </c>
      <c r="P63" s="380">
        <v>2</v>
      </c>
      <c r="Q63" s="303">
        <f t="shared" si="34"/>
        <v>18714.577500000003</v>
      </c>
      <c r="R63" s="303">
        <f t="shared" si="10"/>
        <v>49125.765937500015</v>
      </c>
      <c r="S63" s="303">
        <f t="shared" si="11"/>
        <v>245628.82968750008</v>
      </c>
      <c r="T63" s="303">
        <f t="shared" si="12"/>
        <v>24562.882968750011</v>
      </c>
      <c r="U63" s="303"/>
      <c r="V63" s="303"/>
      <c r="W63" s="303">
        <v>60</v>
      </c>
      <c r="X63" s="303">
        <v>10618</v>
      </c>
      <c r="Y63" s="338"/>
      <c r="Z63" s="338"/>
      <c r="AA63" s="338">
        <v>50</v>
      </c>
      <c r="AB63" s="338">
        <f>(K63*17697*50%)/16/2</f>
        <v>5806.828125</v>
      </c>
      <c r="AC63" s="303"/>
      <c r="AD63" s="303"/>
      <c r="AE63" s="303">
        <f t="shared" si="13"/>
        <v>73688.648906250004</v>
      </c>
      <c r="AF63" s="338"/>
      <c r="AG63" s="338">
        <f t="shared" si="22"/>
        <v>0</v>
      </c>
      <c r="AH63" s="303"/>
      <c r="AI63" s="303"/>
      <c r="AJ63" s="303"/>
      <c r="AK63" s="303"/>
      <c r="AL63" s="303"/>
      <c r="AM63" s="303">
        <f t="shared" si="14"/>
        <v>360305.18968750013</v>
      </c>
      <c r="AN63" s="303">
        <f t="shared" si="15"/>
        <v>4323.662276250001</v>
      </c>
      <c r="AO63" s="246"/>
    </row>
    <row r="64" spans="1:41" s="247" customFormat="1" ht="30" customHeight="1" x14ac:dyDescent="0.2">
      <c r="A64" s="304">
        <v>47</v>
      </c>
      <c r="B64" s="326"/>
      <c r="C64" s="330" t="s">
        <v>39</v>
      </c>
      <c r="D64" s="331" t="s">
        <v>37</v>
      </c>
      <c r="E64" s="332" t="s">
        <v>609</v>
      </c>
      <c r="F64" s="333">
        <v>5</v>
      </c>
      <c r="G64" s="334">
        <v>4.2229999999999999</v>
      </c>
      <c r="H64" s="257">
        <v>17697</v>
      </c>
      <c r="I64" s="257">
        <v>2</v>
      </c>
      <c r="J64" s="303">
        <f t="shared" si="8"/>
        <v>149468.86199999999</v>
      </c>
      <c r="K64" s="337">
        <f t="shared" si="9"/>
        <v>12</v>
      </c>
      <c r="L64" s="380"/>
      <c r="M64" s="338"/>
      <c r="N64" s="380">
        <v>12</v>
      </c>
      <c r="O64" s="338">
        <f t="shared" si="16"/>
        <v>112101.6465</v>
      </c>
      <c r="P64" s="380"/>
      <c r="Q64" s="303"/>
      <c r="R64" s="303">
        <f t="shared" si="10"/>
        <v>28025.411625000001</v>
      </c>
      <c r="S64" s="303">
        <f t="shared" si="11"/>
        <v>140127.05812500001</v>
      </c>
      <c r="T64" s="303">
        <f t="shared" si="12"/>
        <v>14012.705812500002</v>
      </c>
      <c r="U64" s="303"/>
      <c r="V64" s="303"/>
      <c r="W64" s="303"/>
      <c r="X64" s="303"/>
      <c r="Y64" s="338">
        <v>40</v>
      </c>
      <c r="Z64" s="338">
        <f>(K64*17697*40%)/16/2</f>
        <v>2654.55</v>
      </c>
      <c r="AA64" s="338"/>
      <c r="AB64" s="338"/>
      <c r="AC64" s="303"/>
      <c r="AD64" s="303"/>
      <c r="AE64" s="303">
        <f t="shared" si="13"/>
        <v>42038.117437500005</v>
      </c>
      <c r="AF64" s="338"/>
      <c r="AG64" s="338"/>
      <c r="AH64" s="303"/>
      <c r="AI64" s="303"/>
      <c r="AJ64" s="303"/>
      <c r="AK64" s="303"/>
      <c r="AL64" s="303"/>
      <c r="AM64" s="303">
        <f t="shared" si="14"/>
        <v>198832.43137500001</v>
      </c>
      <c r="AN64" s="303">
        <f t="shared" si="15"/>
        <v>2385.9891765000002</v>
      </c>
      <c r="AO64" s="246"/>
    </row>
    <row r="65" spans="1:41" s="247" customFormat="1" ht="30" customHeight="1" x14ac:dyDescent="0.2">
      <c r="A65" s="304">
        <v>48</v>
      </c>
      <c r="B65" s="326"/>
      <c r="C65" s="330" t="s">
        <v>650</v>
      </c>
      <c r="D65" s="331" t="s">
        <v>37</v>
      </c>
      <c r="E65" s="332" t="s">
        <v>609</v>
      </c>
      <c r="F65" s="333">
        <v>2</v>
      </c>
      <c r="G65" s="334">
        <v>4.1399999999999997</v>
      </c>
      <c r="H65" s="257">
        <v>17697</v>
      </c>
      <c r="I65" s="257">
        <v>2</v>
      </c>
      <c r="J65" s="303">
        <f t="shared" si="8"/>
        <v>146531.15999999997</v>
      </c>
      <c r="K65" s="337">
        <f t="shared" si="9"/>
        <v>17</v>
      </c>
      <c r="L65" s="380"/>
      <c r="M65" s="338"/>
      <c r="N65" s="380">
        <v>13</v>
      </c>
      <c r="O65" s="338">
        <f t="shared" si="16"/>
        <v>119056.56749999998</v>
      </c>
      <c r="P65" s="380">
        <v>4</v>
      </c>
      <c r="Q65" s="303">
        <f t="shared" si="34"/>
        <v>36632.789999999994</v>
      </c>
      <c r="R65" s="303">
        <f t="shared" si="10"/>
        <v>38922.339374999996</v>
      </c>
      <c r="S65" s="303">
        <f t="shared" si="11"/>
        <v>194611.69687499997</v>
      </c>
      <c r="T65" s="303">
        <f t="shared" si="12"/>
        <v>19461.169687499998</v>
      </c>
      <c r="U65" s="303"/>
      <c r="V65" s="303"/>
      <c r="W65" s="303">
        <v>60</v>
      </c>
      <c r="X65" s="303">
        <v>10618</v>
      </c>
      <c r="Y65" s="338">
        <v>40</v>
      </c>
      <c r="Z65" s="338">
        <f>(16*17697*40%)/16</f>
        <v>7078.8</v>
      </c>
      <c r="AA65" s="338"/>
      <c r="AB65" s="338"/>
      <c r="AC65" s="303"/>
      <c r="AD65" s="303"/>
      <c r="AE65" s="303">
        <f t="shared" si="13"/>
        <v>58383.509062499987</v>
      </c>
      <c r="AF65" s="338">
        <v>1</v>
      </c>
      <c r="AG65" s="338">
        <f t="shared" si="22"/>
        <v>442</v>
      </c>
      <c r="AH65" s="303"/>
      <c r="AI65" s="303"/>
      <c r="AJ65" s="303"/>
      <c r="AK65" s="303"/>
      <c r="AL65" s="303"/>
      <c r="AM65" s="303">
        <f t="shared" si="14"/>
        <v>290595.17562499992</v>
      </c>
      <c r="AN65" s="303">
        <f t="shared" si="15"/>
        <v>3487.1421074999989</v>
      </c>
      <c r="AO65" s="246"/>
    </row>
    <row r="66" spans="1:41" s="247" customFormat="1" ht="30" customHeight="1" x14ac:dyDescent="0.2">
      <c r="A66" s="304">
        <v>49</v>
      </c>
      <c r="B66" s="326"/>
      <c r="C66" s="330" t="s">
        <v>650</v>
      </c>
      <c r="D66" s="331" t="s">
        <v>37</v>
      </c>
      <c r="E66" s="332" t="s">
        <v>614</v>
      </c>
      <c r="F66" s="333">
        <v>15.03</v>
      </c>
      <c r="G66" s="334">
        <v>4.95</v>
      </c>
      <c r="H66" s="257">
        <v>17697</v>
      </c>
      <c r="I66" s="257">
        <v>2</v>
      </c>
      <c r="J66" s="303">
        <f t="shared" si="8"/>
        <v>175200.30000000002</v>
      </c>
      <c r="K66" s="337">
        <f t="shared" si="9"/>
        <v>20</v>
      </c>
      <c r="L66" s="380"/>
      <c r="M66" s="338"/>
      <c r="N66" s="380">
        <v>16</v>
      </c>
      <c r="O66" s="338">
        <f t="shared" si="16"/>
        <v>175200.30000000002</v>
      </c>
      <c r="P66" s="380">
        <v>4</v>
      </c>
      <c r="Q66" s="303">
        <f t="shared" si="34"/>
        <v>43800.075000000004</v>
      </c>
      <c r="R66" s="303">
        <f t="shared" si="10"/>
        <v>54750.093750000007</v>
      </c>
      <c r="S66" s="303">
        <f t="shared" si="11"/>
        <v>273750.46875000006</v>
      </c>
      <c r="T66" s="303">
        <f t="shared" si="12"/>
        <v>27375.046875000007</v>
      </c>
      <c r="U66" s="303"/>
      <c r="V66" s="303"/>
      <c r="W66" s="303">
        <v>60</v>
      </c>
      <c r="X66" s="303">
        <v>10618</v>
      </c>
      <c r="Y66" s="338">
        <v>40</v>
      </c>
      <c r="Z66" s="338">
        <f>(19*17697*40%)/16</f>
        <v>8406.0750000000007</v>
      </c>
      <c r="AA66" s="338"/>
      <c r="AB66" s="338"/>
      <c r="AC66" s="303"/>
      <c r="AD66" s="303"/>
      <c r="AE66" s="303">
        <f t="shared" si="13"/>
        <v>82125.140625000015</v>
      </c>
      <c r="AF66" s="338">
        <v>1</v>
      </c>
      <c r="AG66" s="338">
        <f t="shared" si="22"/>
        <v>442</v>
      </c>
      <c r="AH66" s="303"/>
      <c r="AI66" s="303"/>
      <c r="AJ66" s="303">
        <f t="shared" si="21"/>
        <v>95812.664062500015</v>
      </c>
      <c r="AK66" s="303"/>
      <c r="AL66" s="303"/>
      <c r="AM66" s="303">
        <f t="shared" si="14"/>
        <v>498529.39531250007</v>
      </c>
      <c r="AN66" s="303">
        <f t="shared" si="15"/>
        <v>5982.3527437500006</v>
      </c>
      <c r="AO66" s="246"/>
    </row>
    <row r="67" spans="1:41" s="247" customFormat="1" ht="30" customHeight="1" x14ac:dyDescent="0.2">
      <c r="A67" s="304">
        <v>50</v>
      </c>
      <c r="B67" s="326"/>
      <c r="C67" s="330" t="s">
        <v>653</v>
      </c>
      <c r="D67" s="331" t="s">
        <v>37</v>
      </c>
      <c r="E67" s="332" t="s">
        <v>643</v>
      </c>
      <c r="F67" s="333">
        <v>20.010000000000002</v>
      </c>
      <c r="G67" s="334">
        <v>5.32</v>
      </c>
      <c r="H67" s="257">
        <v>17697</v>
      </c>
      <c r="I67" s="257">
        <v>2</v>
      </c>
      <c r="J67" s="303">
        <f t="shared" si="8"/>
        <v>188296.08000000002</v>
      </c>
      <c r="K67" s="337">
        <f t="shared" si="9"/>
        <v>16</v>
      </c>
      <c r="L67" s="380"/>
      <c r="M67" s="338"/>
      <c r="N67" s="380">
        <v>8</v>
      </c>
      <c r="O67" s="338">
        <f t="shared" si="16"/>
        <v>94148.040000000008</v>
      </c>
      <c r="P67" s="380">
        <v>8</v>
      </c>
      <c r="Q67" s="303">
        <f t="shared" si="34"/>
        <v>94148.040000000008</v>
      </c>
      <c r="R67" s="303">
        <f t="shared" si="10"/>
        <v>47074.020000000004</v>
      </c>
      <c r="S67" s="303">
        <f t="shared" si="11"/>
        <v>235370.10000000003</v>
      </c>
      <c r="T67" s="303">
        <f t="shared" si="12"/>
        <v>23537.010000000006</v>
      </c>
      <c r="U67" s="303"/>
      <c r="V67" s="303"/>
      <c r="W67" s="303"/>
      <c r="X67" s="303"/>
      <c r="Y67" s="338">
        <v>40</v>
      </c>
      <c r="Z67" s="338">
        <f>(14*17697*40%)/16</f>
        <v>6193.9500000000007</v>
      </c>
      <c r="AA67" s="338"/>
      <c r="AB67" s="338"/>
      <c r="AC67" s="303">
        <v>36920</v>
      </c>
      <c r="AD67" s="303"/>
      <c r="AE67" s="303">
        <f t="shared" si="13"/>
        <v>70611.030000000013</v>
      </c>
      <c r="AF67" s="338"/>
      <c r="AG67" s="338"/>
      <c r="AH67" s="303">
        <v>3539</v>
      </c>
      <c r="AI67" s="303"/>
      <c r="AJ67" s="303"/>
      <c r="AK67" s="303">
        <f>S67*0.4</f>
        <v>94148.040000000023</v>
      </c>
      <c r="AL67" s="303"/>
      <c r="AM67" s="303">
        <f t="shared" si="14"/>
        <v>470319.13000000012</v>
      </c>
      <c r="AN67" s="303">
        <f t="shared" si="15"/>
        <v>5643.829560000001</v>
      </c>
      <c r="AO67" s="246"/>
    </row>
    <row r="68" spans="1:41" s="247" customFormat="1" ht="30" customHeight="1" x14ac:dyDescent="0.2">
      <c r="A68" s="304">
        <v>51</v>
      </c>
      <c r="B68" s="326"/>
      <c r="C68" s="330" t="s">
        <v>650</v>
      </c>
      <c r="D68" s="331" t="s">
        <v>37</v>
      </c>
      <c r="E68" s="332" t="s">
        <v>615</v>
      </c>
      <c r="F68" s="333">
        <v>6.01</v>
      </c>
      <c r="G68" s="334">
        <v>4.66</v>
      </c>
      <c r="H68" s="257">
        <v>17697</v>
      </c>
      <c r="I68" s="257">
        <v>2</v>
      </c>
      <c r="J68" s="303">
        <f t="shared" si="8"/>
        <v>164936.04</v>
      </c>
      <c r="K68" s="337">
        <f t="shared" si="9"/>
        <v>18</v>
      </c>
      <c r="L68" s="380"/>
      <c r="M68" s="338"/>
      <c r="N68" s="380">
        <v>18</v>
      </c>
      <c r="O68" s="338">
        <f t="shared" si="16"/>
        <v>185553.04500000001</v>
      </c>
      <c r="P68" s="380"/>
      <c r="Q68" s="303"/>
      <c r="R68" s="303">
        <f t="shared" si="10"/>
        <v>46388.261250000003</v>
      </c>
      <c r="S68" s="303">
        <f t="shared" si="11"/>
        <v>231941.30625000002</v>
      </c>
      <c r="T68" s="303">
        <f t="shared" si="12"/>
        <v>23194.130625000005</v>
      </c>
      <c r="U68" s="303"/>
      <c r="V68" s="303"/>
      <c r="W68" s="303"/>
      <c r="X68" s="303"/>
      <c r="Y68" s="338">
        <v>40</v>
      </c>
      <c r="Z68" s="338">
        <f t="shared" ref="Z68" si="35">(K68*17697*40%)/16</f>
        <v>7963.6500000000005</v>
      </c>
      <c r="AA68" s="338"/>
      <c r="AB68" s="338"/>
      <c r="AC68" s="303"/>
      <c r="AD68" s="303"/>
      <c r="AE68" s="303">
        <f t="shared" si="13"/>
        <v>69582.391875000001</v>
      </c>
      <c r="AF68" s="338"/>
      <c r="AG68" s="338"/>
      <c r="AH68" s="303"/>
      <c r="AI68" s="303">
        <f>S68*0.3</f>
        <v>69582.391875000001</v>
      </c>
      <c r="AJ68" s="303"/>
      <c r="AK68" s="303"/>
      <c r="AL68" s="303"/>
      <c r="AM68" s="303">
        <f t="shared" si="14"/>
        <v>402263.87062499998</v>
      </c>
      <c r="AN68" s="303">
        <f t="shared" si="15"/>
        <v>4827.1664474999998</v>
      </c>
      <c r="AO68" s="246"/>
    </row>
    <row r="69" spans="1:41" s="247" customFormat="1" ht="30" customHeight="1" x14ac:dyDescent="0.2">
      <c r="A69" s="304">
        <v>52</v>
      </c>
      <c r="B69" s="326"/>
      <c r="C69" s="330" t="s">
        <v>651</v>
      </c>
      <c r="D69" s="331" t="s">
        <v>37</v>
      </c>
      <c r="E69" s="332" t="s">
        <v>608</v>
      </c>
      <c r="F69" s="333">
        <v>33.08</v>
      </c>
      <c r="G69" s="334">
        <v>4.7300000000000004</v>
      </c>
      <c r="H69" s="257">
        <v>17697</v>
      </c>
      <c r="I69" s="257">
        <v>2</v>
      </c>
      <c r="J69" s="303">
        <f t="shared" si="8"/>
        <v>167413.62000000002</v>
      </c>
      <c r="K69" s="337">
        <f t="shared" si="9"/>
        <v>20</v>
      </c>
      <c r="L69" s="380">
        <v>20</v>
      </c>
      <c r="M69" s="338">
        <f t="shared" si="19"/>
        <v>209267.02500000002</v>
      </c>
      <c r="N69" s="380"/>
      <c r="O69" s="338"/>
      <c r="P69" s="380"/>
      <c r="Q69" s="303"/>
      <c r="R69" s="303">
        <f t="shared" si="10"/>
        <v>52316.756250000006</v>
      </c>
      <c r="S69" s="303">
        <f t="shared" si="11"/>
        <v>261583.78125000003</v>
      </c>
      <c r="T69" s="303">
        <f t="shared" si="12"/>
        <v>26158.378125000003</v>
      </c>
      <c r="U69" s="303"/>
      <c r="V69" s="303"/>
      <c r="W69" s="303"/>
      <c r="X69" s="303"/>
      <c r="Y69" s="338"/>
      <c r="Z69" s="338"/>
      <c r="AA69" s="338">
        <v>50</v>
      </c>
      <c r="AB69" s="338">
        <f>(K69*17697*50%)/16/2</f>
        <v>5530.3125</v>
      </c>
      <c r="AC69" s="303"/>
      <c r="AD69" s="303"/>
      <c r="AE69" s="303">
        <f t="shared" si="13"/>
        <v>78475.134375000009</v>
      </c>
      <c r="AF69" s="338"/>
      <c r="AG69" s="338"/>
      <c r="AH69" s="303"/>
      <c r="AI69" s="303"/>
      <c r="AJ69" s="303"/>
      <c r="AK69" s="303"/>
      <c r="AL69" s="303"/>
      <c r="AM69" s="303">
        <f t="shared" si="14"/>
        <v>371747.60625000007</v>
      </c>
      <c r="AN69" s="303">
        <f t="shared" si="15"/>
        <v>4460.9712750000008</v>
      </c>
      <c r="AO69" s="246"/>
    </row>
    <row r="70" spans="1:41" s="247" customFormat="1" ht="30" customHeight="1" x14ac:dyDescent="0.2">
      <c r="A70" s="304">
        <v>53</v>
      </c>
      <c r="B70" s="326"/>
      <c r="C70" s="330" t="s">
        <v>649</v>
      </c>
      <c r="D70" s="331" t="s">
        <v>37</v>
      </c>
      <c r="E70" s="332" t="s">
        <v>763</v>
      </c>
      <c r="F70" s="333">
        <v>3</v>
      </c>
      <c r="G70" s="334">
        <v>4.1900000000000004</v>
      </c>
      <c r="H70" s="257">
        <v>17697</v>
      </c>
      <c r="I70" s="257">
        <v>2</v>
      </c>
      <c r="J70" s="303">
        <f t="shared" ref="J70" si="36">G70*H70*I70</f>
        <v>148300.86000000002</v>
      </c>
      <c r="K70" s="337">
        <f t="shared" ref="K70" si="37">L70+N70+P70</f>
        <v>8</v>
      </c>
      <c r="L70" s="380"/>
      <c r="M70" s="338"/>
      <c r="N70" s="380">
        <v>8</v>
      </c>
      <c r="O70" s="338">
        <f t="shared" si="16"/>
        <v>74150.430000000008</v>
      </c>
      <c r="P70" s="380"/>
      <c r="Q70" s="303"/>
      <c r="R70" s="303">
        <f t="shared" ref="R70" si="38">(M70+O70+Q70)/4</f>
        <v>18537.607500000002</v>
      </c>
      <c r="S70" s="303">
        <f t="shared" ref="S70" si="39">M70+O70+Q70+R70</f>
        <v>92688.037500000006</v>
      </c>
      <c r="T70" s="303">
        <f t="shared" ref="T70" si="40">S70*0.1</f>
        <v>9268.8037500000009</v>
      </c>
      <c r="U70" s="303"/>
      <c r="V70" s="303"/>
      <c r="W70" s="303"/>
      <c r="X70" s="303"/>
      <c r="Y70" s="338"/>
      <c r="Z70" s="338"/>
      <c r="AA70" s="338"/>
      <c r="AB70" s="338"/>
      <c r="AC70" s="303"/>
      <c r="AD70" s="303"/>
      <c r="AE70" s="303">
        <f t="shared" si="13"/>
        <v>27806.411250000001</v>
      </c>
      <c r="AF70" s="338"/>
      <c r="AG70" s="338"/>
      <c r="AH70" s="303"/>
      <c r="AI70" s="303"/>
      <c r="AJ70" s="303"/>
      <c r="AK70" s="303"/>
      <c r="AL70" s="303"/>
      <c r="AM70" s="303">
        <f t="shared" ref="AM70" si="41">S70+T70+V70+X70+Z70+AB70+AC70+AD70+AE70+AG70+AH70+AI70+AJ70+AK70+AL70</f>
        <v>129763.25250000002</v>
      </c>
      <c r="AN70" s="303">
        <f t="shared" ref="AN70" si="42">AM70*12/1000</f>
        <v>1557.1590300000003</v>
      </c>
      <c r="AO70" s="246"/>
    </row>
    <row r="71" spans="1:41" s="247" customFormat="1" ht="30" customHeight="1" x14ac:dyDescent="0.2">
      <c r="A71" s="304">
        <v>54</v>
      </c>
      <c r="B71" s="328"/>
      <c r="C71" s="330" t="s">
        <v>651</v>
      </c>
      <c r="D71" s="331" t="s">
        <v>37</v>
      </c>
      <c r="E71" s="332" t="s">
        <v>609</v>
      </c>
      <c r="F71" s="333">
        <v>4.01</v>
      </c>
      <c r="G71" s="334">
        <v>4.2300000000000004</v>
      </c>
      <c r="H71" s="257">
        <v>17697</v>
      </c>
      <c r="I71" s="257">
        <v>2</v>
      </c>
      <c r="J71" s="303">
        <f t="shared" si="8"/>
        <v>149716.62000000002</v>
      </c>
      <c r="K71" s="337">
        <f t="shared" si="9"/>
        <v>19</v>
      </c>
      <c r="L71" s="380"/>
      <c r="M71" s="338"/>
      <c r="N71" s="380">
        <v>17</v>
      </c>
      <c r="O71" s="338">
        <f t="shared" si="16"/>
        <v>159073.90875000003</v>
      </c>
      <c r="P71" s="380">
        <v>2</v>
      </c>
      <c r="Q71" s="303">
        <f t="shared" si="34"/>
        <v>18714.577500000003</v>
      </c>
      <c r="R71" s="303">
        <f t="shared" si="10"/>
        <v>44447.121562500011</v>
      </c>
      <c r="S71" s="303">
        <f t="shared" si="11"/>
        <v>222235.60781250006</v>
      </c>
      <c r="T71" s="303">
        <f t="shared" si="12"/>
        <v>22223.560781250009</v>
      </c>
      <c r="U71" s="303"/>
      <c r="V71" s="303"/>
      <c r="W71" s="303"/>
      <c r="X71" s="303"/>
      <c r="Y71" s="338"/>
      <c r="Z71" s="338"/>
      <c r="AA71" s="338">
        <v>50</v>
      </c>
      <c r="AB71" s="338">
        <f>(17*17697*50%)/16/2</f>
        <v>4700.765625</v>
      </c>
      <c r="AC71" s="303"/>
      <c r="AD71" s="303"/>
      <c r="AE71" s="303">
        <f t="shared" si="13"/>
        <v>66670.682343750013</v>
      </c>
      <c r="AF71" s="338">
        <v>2</v>
      </c>
      <c r="AG71" s="338">
        <f t="shared" si="22"/>
        <v>884</v>
      </c>
      <c r="AH71" s="303"/>
      <c r="AI71" s="303"/>
      <c r="AJ71" s="303"/>
      <c r="AK71" s="303"/>
      <c r="AL71" s="303"/>
      <c r="AM71" s="303">
        <f t="shared" si="14"/>
        <v>316714.61656250007</v>
      </c>
      <c r="AN71" s="303">
        <f t="shared" si="15"/>
        <v>3800.5753987500007</v>
      </c>
      <c r="AO71" s="246"/>
    </row>
    <row r="72" spans="1:41" s="247" customFormat="1" ht="30" customHeight="1" x14ac:dyDescent="0.2">
      <c r="A72" s="304">
        <v>55</v>
      </c>
      <c r="B72" s="326"/>
      <c r="C72" s="330" t="s">
        <v>654</v>
      </c>
      <c r="D72" s="331" t="s">
        <v>37</v>
      </c>
      <c r="E72" s="332" t="s">
        <v>643</v>
      </c>
      <c r="F72" s="333">
        <v>25.04</v>
      </c>
      <c r="G72" s="334">
        <v>5.41</v>
      </c>
      <c r="H72" s="257">
        <v>17697</v>
      </c>
      <c r="I72" s="257">
        <v>2</v>
      </c>
      <c r="J72" s="303">
        <f t="shared" si="8"/>
        <v>191481.54</v>
      </c>
      <c r="K72" s="337">
        <f t="shared" si="9"/>
        <v>21</v>
      </c>
      <c r="L72" s="380"/>
      <c r="M72" s="338"/>
      <c r="N72" s="380">
        <v>21</v>
      </c>
      <c r="O72" s="338">
        <f>N72*J72/16</f>
        <v>251319.52125000002</v>
      </c>
      <c r="P72" s="380"/>
      <c r="Q72" s="303"/>
      <c r="R72" s="303">
        <f t="shared" si="10"/>
        <v>62829.880312500005</v>
      </c>
      <c r="S72" s="303">
        <f t="shared" si="11"/>
        <v>314149.40156250005</v>
      </c>
      <c r="T72" s="303">
        <f t="shared" si="12"/>
        <v>31414.940156250006</v>
      </c>
      <c r="U72" s="303"/>
      <c r="V72" s="303"/>
      <c r="W72" s="303"/>
      <c r="X72" s="303"/>
      <c r="Y72" s="338"/>
      <c r="Z72" s="338"/>
      <c r="AA72" s="338"/>
      <c r="AB72" s="338"/>
      <c r="AC72" s="303"/>
      <c r="AD72" s="303"/>
      <c r="AE72" s="303">
        <f t="shared" si="13"/>
        <v>94244.820468750011</v>
      </c>
      <c r="AF72" s="338">
        <v>1</v>
      </c>
      <c r="AG72" s="338">
        <f t="shared" si="22"/>
        <v>442</v>
      </c>
      <c r="AH72" s="303"/>
      <c r="AI72" s="303"/>
      <c r="AJ72" s="303"/>
      <c r="AK72" s="303">
        <f>S72*0.4</f>
        <v>125659.76062500002</v>
      </c>
      <c r="AL72" s="303"/>
      <c r="AM72" s="303">
        <f t="shared" si="14"/>
        <v>565910.92281250015</v>
      </c>
      <c r="AN72" s="303">
        <f t="shared" si="15"/>
        <v>6790.9310737500027</v>
      </c>
      <c r="AO72" s="246"/>
    </row>
    <row r="73" spans="1:41" s="247" customFormat="1" ht="30" customHeight="1" x14ac:dyDescent="0.2">
      <c r="A73" s="304">
        <v>56</v>
      </c>
      <c r="B73" s="326"/>
      <c r="C73" s="330" t="s">
        <v>646</v>
      </c>
      <c r="D73" s="331" t="s">
        <v>37</v>
      </c>
      <c r="E73" s="332" t="s">
        <v>614</v>
      </c>
      <c r="F73" s="333">
        <v>34.07</v>
      </c>
      <c r="G73" s="334">
        <v>5.2</v>
      </c>
      <c r="H73" s="257">
        <v>17697</v>
      </c>
      <c r="I73" s="257">
        <v>2</v>
      </c>
      <c r="J73" s="303">
        <f t="shared" si="8"/>
        <v>184048.80000000002</v>
      </c>
      <c r="K73" s="337">
        <f t="shared" si="9"/>
        <v>18</v>
      </c>
      <c r="L73" s="380">
        <v>18</v>
      </c>
      <c r="M73" s="338">
        <f t="shared" si="19"/>
        <v>207054.90000000002</v>
      </c>
      <c r="N73" s="380"/>
      <c r="O73" s="338"/>
      <c r="P73" s="380"/>
      <c r="Q73" s="303"/>
      <c r="R73" s="303">
        <f t="shared" si="10"/>
        <v>51763.725000000006</v>
      </c>
      <c r="S73" s="303">
        <f t="shared" si="11"/>
        <v>258818.62500000003</v>
      </c>
      <c r="T73" s="303">
        <f t="shared" si="12"/>
        <v>25881.862500000003</v>
      </c>
      <c r="U73" s="303"/>
      <c r="V73" s="303"/>
      <c r="W73" s="303"/>
      <c r="X73" s="303"/>
      <c r="Y73" s="338"/>
      <c r="Z73" s="338"/>
      <c r="AA73" s="338"/>
      <c r="AB73" s="338"/>
      <c r="AC73" s="303"/>
      <c r="AD73" s="303"/>
      <c r="AE73" s="303">
        <f t="shared" si="13"/>
        <v>77645.587500000009</v>
      </c>
      <c r="AF73" s="338">
        <v>12</v>
      </c>
      <c r="AG73" s="338">
        <f t="shared" si="22"/>
        <v>5304</v>
      </c>
      <c r="AH73" s="303"/>
      <c r="AI73" s="303"/>
      <c r="AJ73" s="303">
        <f t="shared" si="21"/>
        <v>90586.518750000003</v>
      </c>
      <c r="AK73" s="303"/>
      <c r="AL73" s="303"/>
      <c r="AM73" s="303">
        <f t="shared" si="14"/>
        <v>458236.59375000006</v>
      </c>
      <c r="AN73" s="303">
        <f t="shared" si="15"/>
        <v>5498.8391250000013</v>
      </c>
      <c r="AO73" s="246"/>
    </row>
    <row r="74" spans="1:41" s="247" customFormat="1" ht="30" customHeight="1" x14ac:dyDescent="0.2">
      <c r="A74" s="304">
        <v>57</v>
      </c>
      <c r="B74" s="326"/>
      <c r="C74" s="330" t="s">
        <v>642</v>
      </c>
      <c r="D74" s="331" t="s">
        <v>37</v>
      </c>
      <c r="E74" s="332" t="s">
        <v>643</v>
      </c>
      <c r="F74" s="333">
        <v>24.05</v>
      </c>
      <c r="G74" s="334">
        <v>5.32</v>
      </c>
      <c r="H74" s="257">
        <v>17697</v>
      </c>
      <c r="I74" s="257">
        <v>2</v>
      </c>
      <c r="J74" s="303">
        <f t="shared" si="8"/>
        <v>188296.08000000002</v>
      </c>
      <c r="K74" s="337">
        <f t="shared" si="9"/>
        <v>20</v>
      </c>
      <c r="L74" s="380"/>
      <c r="M74" s="338"/>
      <c r="N74" s="380">
        <v>10</v>
      </c>
      <c r="O74" s="338">
        <f t="shared" si="16"/>
        <v>117685.05000000002</v>
      </c>
      <c r="P74" s="380">
        <v>10</v>
      </c>
      <c r="Q74" s="303">
        <f t="shared" si="34"/>
        <v>117685.05000000002</v>
      </c>
      <c r="R74" s="303">
        <f t="shared" si="10"/>
        <v>58842.525000000009</v>
      </c>
      <c r="S74" s="303">
        <f t="shared" si="11"/>
        <v>294212.62500000006</v>
      </c>
      <c r="T74" s="303">
        <f t="shared" si="12"/>
        <v>29421.262500000008</v>
      </c>
      <c r="U74" s="303"/>
      <c r="V74" s="303"/>
      <c r="W74" s="303">
        <v>60</v>
      </c>
      <c r="X74" s="303">
        <v>10618</v>
      </c>
      <c r="Y74" s="338"/>
      <c r="Z74" s="338"/>
      <c r="AA74" s="338">
        <v>50</v>
      </c>
      <c r="AB74" s="338">
        <f>(K74*17697*50%)/16</f>
        <v>11060.625</v>
      </c>
      <c r="AC74" s="303"/>
      <c r="AD74" s="303"/>
      <c r="AE74" s="303">
        <f t="shared" si="13"/>
        <v>88263.78750000002</v>
      </c>
      <c r="AF74" s="338"/>
      <c r="AG74" s="338"/>
      <c r="AH74" s="303"/>
      <c r="AI74" s="303"/>
      <c r="AJ74" s="303"/>
      <c r="AK74" s="303">
        <f>S74*0.4</f>
        <v>117685.05000000003</v>
      </c>
      <c r="AL74" s="303"/>
      <c r="AM74" s="303">
        <f t="shared" si="14"/>
        <v>551261.35000000009</v>
      </c>
      <c r="AN74" s="303">
        <f t="shared" si="15"/>
        <v>6615.1362000000008</v>
      </c>
      <c r="AO74" s="246"/>
    </row>
    <row r="75" spans="1:41" s="247" customFormat="1" ht="30" customHeight="1" x14ac:dyDescent="0.2">
      <c r="A75" s="304">
        <v>58</v>
      </c>
      <c r="B75" s="327"/>
      <c r="C75" s="331" t="s">
        <v>661</v>
      </c>
      <c r="D75" s="331" t="s">
        <v>37</v>
      </c>
      <c r="E75" s="332" t="s">
        <v>609</v>
      </c>
      <c r="F75" s="333">
        <v>1</v>
      </c>
      <c r="G75" s="334">
        <v>4.0999999999999996</v>
      </c>
      <c r="H75" s="257">
        <v>17697</v>
      </c>
      <c r="I75" s="257">
        <v>2</v>
      </c>
      <c r="J75" s="303">
        <f t="shared" si="8"/>
        <v>145115.4</v>
      </c>
      <c r="K75" s="337">
        <f t="shared" si="9"/>
        <v>5</v>
      </c>
      <c r="L75" s="380"/>
      <c r="M75" s="338"/>
      <c r="N75" s="380">
        <v>5</v>
      </c>
      <c r="O75" s="338">
        <f t="shared" si="16"/>
        <v>45348.5625</v>
      </c>
      <c r="P75" s="380"/>
      <c r="Q75" s="303"/>
      <c r="R75" s="303">
        <f t="shared" si="10"/>
        <v>11337.140625</v>
      </c>
      <c r="S75" s="303">
        <f t="shared" si="11"/>
        <v>56685.703125</v>
      </c>
      <c r="T75" s="303">
        <f t="shared" si="12"/>
        <v>5668.5703125</v>
      </c>
      <c r="U75" s="303"/>
      <c r="V75" s="303"/>
      <c r="W75" s="303"/>
      <c r="X75" s="303"/>
      <c r="Y75" s="338"/>
      <c r="Z75" s="338"/>
      <c r="AA75" s="338"/>
      <c r="AB75" s="338"/>
      <c r="AC75" s="303"/>
      <c r="AD75" s="303"/>
      <c r="AE75" s="303">
        <f t="shared" si="13"/>
        <v>17005.7109375</v>
      </c>
      <c r="AF75" s="338">
        <v>3</v>
      </c>
      <c r="AG75" s="338">
        <f t="shared" si="22"/>
        <v>1326</v>
      </c>
      <c r="AH75" s="303"/>
      <c r="AI75" s="303"/>
      <c r="AJ75" s="303"/>
      <c r="AK75" s="303"/>
      <c r="AL75" s="303"/>
      <c r="AM75" s="303">
        <f t="shared" si="14"/>
        <v>80685.984375</v>
      </c>
      <c r="AN75" s="303">
        <f t="shared" si="15"/>
        <v>968.23181250000005</v>
      </c>
      <c r="AO75" s="246"/>
    </row>
    <row r="76" spans="1:41" s="247" customFormat="1" ht="30" customHeight="1" x14ac:dyDescent="0.2">
      <c r="A76" s="304">
        <v>59</v>
      </c>
      <c r="B76" s="329"/>
      <c r="C76" s="331" t="s">
        <v>646</v>
      </c>
      <c r="D76" s="331" t="s">
        <v>37</v>
      </c>
      <c r="E76" s="332" t="s">
        <v>616</v>
      </c>
      <c r="F76" s="331">
        <v>10.01</v>
      </c>
      <c r="G76" s="334">
        <v>4.8600000000000003</v>
      </c>
      <c r="H76" s="257">
        <v>17697</v>
      </c>
      <c r="I76" s="257">
        <v>2</v>
      </c>
      <c r="J76" s="303">
        <f t="shared" si="8"/>
        <v>172014.84000000003</v>
      </c>
      <c r="K76" s="337">
        <f t="shared" si="9"/>
        <v>18</v>
      </c>
      <c r="L76" s="380">
        <v>18</v>
      </c>
      <c r="M76" s="338">
        <f t="shared" si="19"/>
        <v>193516.69500000004</v>
      </c>
      <c r="N76" s="380"/>
      <c r="O76" s="338"/>
      <c r="P76" s="380"/>
      <c r="Q76" s="303"/>
      <c r="R76" s="303">
        <f t="shared" si="10"/>
        <v>48379.173750000009</v>
      </c>
      <c r="S76" s="303">
        <f t="shared" si="11"/>
        <v>241895.86875000005</v>
      </c>
      <c r="T76" s="303">
        <f t="shared" si="12"/>
        <v>24189.586875000008</v>
      </c>
      <c r="U76" s="303">
        <v>50</v>
      </c>
      <c r="V76" s="303">
        <v>8848</v>
      </c>
      <c r="W76" s="303"/>
      <c r="X76" s="303"/>
      <c r="Y76" s="338">
        <v>40</v>
      </c>
      <c r="Z76" s="338">
        <f>(12*17697*40%)/16</f>
        <v>5309.1</v>
      </c>
      <c r="AA76" s="338"/>
      <c r="AB76" s="338"/>
      <c r="AC76" s="303"/>
      <c r="AD76" s="303"/>
      <c r="AE76" s="303">
        <f t="shared" si="13"/>
        <v>72568.76062500001</v>
      </c>
      <c r="AF76" s="338"/>
      <c r="AG76" s="338"/>
      <c r="AH76" s="303"/>
      <c r="AI76" s="303"/>
      <c r="AJ76" s="303">
        <f t="shared" si="21"/>
        <v>84663.554062500014</v>
      </c>
      <c r="AK76" s="303"/>
      <c r="AL76" s="303"/>
      <c r="AM76" s="303">
        <f t="shared" si="14"/>
        <v>437474.87031250005</v>
      </c>
      <c r="AN76" s="303">
        <f t="shared" si="15"/>
        <v>5249.6984437500005</v>
      </c>
      <c r="AO76" s="246"/>
    </row>
    <row r="77" spans="1:41" s="2" customFormat="1" ht="30" customHeight="1" x14ac:dyDescent="0.2">
      <c r="A77" s="304">
        <v>60</v>
      </c>
      <c r="B77" s="326"/>
      <c r="C77" s="330" t="s">
        <v>39</v>
      </c>
      <c r="D77" s="331" t="s">
        <v>37</v>
      </c>
      <c r="E77" s="332" t="s">
        <v>608</v>
      </c>
      <c r="F77" s="333">
        <v>0</v>
      </c>
      <c r="G77" s="334">
        <v>4.0999999999999996</v>
      </c>
      <c r="H77" s="396">
        <v>17697</v>
      </c>
      <c r="I77" s="396">
        <v>2</v>
      </c>
      <c r="J77" s="338">
        <f t="shared" si="8"/>
        <v>145115.4</v>
      </c>
      <c r="K77" s="337">
        <f t="shared" si="9"/>
        <v>16</v>
      </c>
      <c r="L77" s="380">
        <v>14</v>
      </c>
      <c r="M77" s="338">
        <f t="shared" ref="M77" si="43">L77*J77/16</f>
        <v>126975.97499999999</v>
      </c>
      <c r="N77" s="380">
        <v>2</v>
      </c>
      <c r="O77" s="338">
        <f t="shared" ref="O77:O78" si="44">N77*J77/16</f>
        <v>18139.424999999999</v>
      </c>
      <c r="P77" s="380"/>
      <c r="Q77" s="338"/>
      <c r="R77" s="338">
        <f t="shared" si="10"/>
        <v>36278.85</v>
      </c>
      <c r="S77" s="338">
        <f t="shared" si="11"/>
        <v>181394.25</v>
      </c>
      <c r="T77" s="338">
        <f t="shared" si="12"/>
        <v>18139.424999999999</v>
      </c>
      <c r="U77" s="338"/>
      <c r="V77" s="338"/>
      <c r="W77" s="338"/>
      <c r="X77" s="338"/>
      <c r="Y77" s="338">
        <v>40</v>
      </c>
      <c r="Z77" s="338">
        <f>((21*17697*40%)/16)/2</f>
        <v>4645.4625000000005</v>
      </c>
      <c r="AA77" s="338"/>
      <c r="AB77" s="338"/>
      <c r="AC77" s="338">
        <v>36920</v>
      </c>
      <c r="AD77" s="338"/>
      <c r="AE77" s="338">
        <f t="shared" si="13"/>
        <v>54418.275000000001</v>
      </c>
      <c r="AF77" s="338">
        <v>2</v>
      </c>
      <c r="AG77" s="338">
        <f t="shared" ref="AG77" si="45">AF77*442</f>
        <v>884</v>
      </c>
      <c r="AH77" s="338"/>
      <c r="AI77" s="338"/>
      <c r="AJ77" s="338"/>
      <c r="AK77" s="338"/>
      <c r="AL77" s="338"/>
      <c r="AM77" s="338">
        <f t="shared" si="14"/>
        <v>296401.41249999998</v>
      </c>
      <c r="AN77" s="338">
        <f t="shared" si="15"/>
        <v>3556.8169499999999</v>
      </c>
      <c r="AO77" s="204"/>
    </row>
    <row r="78" spans="1:41" s="247" customFormat="1" ht="30" customHeight="1" x14ac:dyDescent="0.2">
      <c r="A78" s="304">
        <v>61</v>
      </c>
      <c r="B78" s="326"/>
      <c r="C78" s="330" t="s">
        <v>651</v>
      </c>
      <c r="D78" s="331" t="s">
        <v>37</v>
      </c>
      <c r="E78" s="332" t="s">
        <v>614</v>
      </c>
      <c r="F78" s="333">
        <v>23.04</v>
      </c>
      <c r="G78" s="334">
        <v>5.12</v>
      </c>
      <c r="H78" s="257">
        <v>17697</v>
      </c>
      <c r="I78" s="257">
        <v>2</v>
      </c>
      <c r="J78" s="303">
        <f t="shared" si="8"/>
        <v>181217.28</v>
      </c>
      <c r="K78" s="337">
        <f t="shared" si="9"/>
        <v>21</v>
      </c>
      <c r="L78" s="380">
        <v>16</v>
      </c>
      <c r="M78" s="338">
        <f t="shared" si="19"/>
        <v>181217.28</v>
      </c>
      <c r="N78" s="380">
        <v>3</v>
      </c>
      <c r="O78" s="338">
        <f t="shared" si="44"/>
        <v>33978.239999999998</v>
      </c>
      <c r="P78" s="380">
        <v>2</v>
      </c>
      <c r="Q78" s="303">
        <f t="shared" si="34"/>
        <v>22652.16</v>
      </c>
      <c r="R78" s="303">
        <f t="shared" si="10"/>
        <v>59461.919999999998</v>
      </c>
      <c r="S78" s="303">
        <f t="shared" si="11"/>
        <v>297309.59999999998</v>
      </c>
      <c r="T78" s="303">
        <f t="shared" si="12"/>
        <v>29730.959999999999</v>
      </c>
      <c r="U78" s="303"/>
      <c r="V78" s="303"/>
      <c r="W78" s="303"/>
      <c r="X78" s="303"/>
      <c r="Y78" s="338"/>
      <c r="Z78" s="338"/>
      <c r="AA78" s="338">
        <v>50</v>
      </c>
      <c r="AB78" s="338">
        <f>(K78*17697*50%)/16/2</f>
        <v>5806.828125</v>
      </c>
      <c r="AC78" s="303"/>
      <c r="AD78" s="303"/>
      <c r="AE78" s="303">
        <f t="shared" si="13"/>
        <v>89192.87999999999</v>
      </c>
      <c r="AF78" s="338"/>
      <c r="AG78" s="338"/>
      <c r="AH78" s="303"/>
      <c r="AI78" s="303"/>
      <c r="AJ78" s="303">
        <f t="shared" si="21"/>
        <v>104058.35999999999</v>
      </c>
      <c r="AK78" s="303"/>
      <c r="AL78" s="303"/>
      <c r="AM78" s="303">
        <f t="shared" si="14"/>
        <v>526098.62812500005</v>
      </c>
      <c r="AN78" s="303">
        <f t="shared" si="15"/>
        <v>6313.183537500001</v>
      </c>
      <c r="AO78" s="246"/>
    </row>
    <row r="79" spans="1:41" s="247" customFormat="1" ht="30" customHeight="1" x14ac:dyDescent="0.2">
      <c r="A79" s="304">
        <v>62</v>
      </c>
      <c r="B79" s="326"/>
      <c r="C79" s="330" t="s">
        <v>649</v>
      </c>
      <c r="D79" s="331" t="s">
        <v>37</v>
      </c>
      <c r="E79" s="332" t="s">
        <v>609</v>
      </c>
      <c r="F79" s="333">
        <v>4.04</v>
      </c>
      <c r="G79" s="334">
        <v>4.2300000000000004</v>
      </c>
      <c r="H79" s="257">
        <v>17697</v>
      </c>
      <c r="I79" s="257">
        <v>2</v>
      </c>
      <c r="J79" s="303">
        <f t="shared" si="8"/>
        <v>149716.62000000002</v>
      </c>
      <c r="K79" s="337">
        <f t="shared" si="9"/>
        <v>9</v>
      </c>
      <c r="L79" s="380"/>
      <c r="M79" s="338"/>
      <c r="N79" s="380">
        <v>3</v>
      </c>
      <c r="O79" s="338">
        <f t="shared" si="16"/>
        <v>28071.866250000006</v>
      </c>
      <c r="P79" s="380">
        <v>6</v>
      </c>
      <c r="Q79" s="303">
        <f t="shared" si="34"/>
        <v>56143.732500000013</v>
      </c>
      <c r="R79" s="303">
        <f t="shared" si="10"/>
        <v>21053.899687500005</v>
      </c>
      <c r="S79" s="303">
        <f t="shared" si="11"/>
        <v>105269.49843750002</v>
      </c>
      <c r="T79" s="303">
        <f t="shared" si="12"/>
        <v>10526.949843750002</v>
      </c>
      <c r="U79" s="303"/>
      <c r="V79" s="303"/>
      <c r="W79" s="303">
        <v>60</v>
      </c>
      <c r="X79" s="303">
        <v>10618</v>
      </c>
      <c r="Y79" s="338"/>
      <c r="Z79" s="338"/>
      <c r="AA79" s="338"/>
      <c r="AB79" s="338"/>
      <c r="AC79" s="303"/>
      <c r="AD79" s="303"/>
      <c r="AE79" s="303">
        <f t="shared" si="13"/>
        <v>31580.849531250005</v>
      </c>
      <c r="AF79" s="338"/>
      <c r="AG79" s="338"/>
      <c r="AH79" s="303"/>
      <c r="AI79" s="303"/>
      <c r="AJ79" s="303"/>
      <c r="AK79" s="303"/>
      <c r="AL79" s="303"/>
      <c r="AM79" s="303">
        <f t="shared" si="14"/>
        <v>157995.29781250004</v>
      </c>
      <c r="AN79" s="303">
        <f t="shared" si="15"/>
        <v>1895.9435737500005</v>
      </c>
      <c r="AO79" s="246"/>
    </row>
    <row r="80" spans="1:41" s="247" customFormat="1" ht="30" customHeight="1" x14ac:dyDescent="0.2">
      <c r="A80" s="304">
        <v>63</v>
      </c>
      <c r="B80" s="326"/>
      <c r="C80" s="330" t="s">
        <v>646</v>
      </c>
      <c r="D80" s="331" t="s">
        <v>37</v>
      </c>
      <c r="E80" s="332" t="s">
        <v>643</v>
      </c>
      <c r="F80" s="333">
        <v>35.04</v>
      </c>
      <c r="G80" s="334">
        <v>5.41</v>
      </c>
      <c r="H80" s="257">
        <v>17697</v>
      </c>
      <c r="I80" s="257">
        <v>2</v>
      </c>
      <c r="J80" s="303">
        <f t="shared" si="8"/>
        <v>191481.54</v>
      </c>
      <c r="K80" s="337">
        <f t="shared" si="9"/>
        <v>8</v>
      </c>
      <c r="L80" s="380">
        <v>8</v>
      </c>
      <c r="M80" s="338">
        <f t="shared" si="19"/>
        <v>95740.77</v>
      </c>
      <c r="N80" s="380"/>
      <c r="O80" s="338"/>
      <c r="P80" s="380"/>
      <c r="Q80" s="303"/>
      <c r="R80" s="303">
        <f t="shared" si="10"/>
        <v>23935.192500000001</v>
      </c>
      <c r="S80" s="303">
        <f t="shared" si="11"/>
        <v>119675.96250000001</v>
      </c>
      <c r="T80" s="303">
        <f t="shared" si="12"/>
        <v>11967.596250000002</v>
      </c>
      <c r="U80" s="303"/>
      <c r="V80" s="303"/>
      <c r="W80" s="303"/>
      <c r="X80" s="303"/>
      <c r="Y80" s="338"/>
      <c r="Z80" s="338"/>
      <c r="AA80" s="338"/>
      <c r="AB80" s="338"/>
      <c r="AC80" s="303"/>
      <c r="AD80" s="303"/>
      <c r="AE80" s="303">
        <f t="shared" si="13"/>
        <v>35902.78875</v>
      </c>
      <c r="AF80" s="338"/>
      <c r="AG80" s="338"/>
      <c r="AH80" s="303"/>
      <c r="AI80" s="303"/>
      <c r="AJ80" s="303"/>
      <c r="AK80" s="303">
        <f>S80*0.4</f>
        <v>47870.385000000009</v>
      </c>
      <c r="AL80" s="303"/>
      <c r="AM80" s="303">
        <f t="shared" si="14"/>
        <v>215416.73250000004</v>
      </c>
      <c r="AN80" s="303">
        <f t="shared" si="15"/>
        <v>2585.0007900000005</v>
      </c>
      <c r="AO80" s="246"/>
    </row>
    <row r="81" spans="1:41" s="247" customFormat="1" ht="30" customHeight="1" x14ac:dyDescent="0.2">
      <c r="A81" s="304">
        <v>64</v>
      </c>
      <c r="B81" s="326"/>
      <c r="C81" s="330" t="s">
        <v>642</v>
      </c>
      <c r="D81" s="331" t="s">
        <v>37</v>
      </c>
      <c r="E81" s="332" t="s">
        <v>614</v>
      </c>
      <c r="F81" s="333">
        <v>19.04</v>
      </c>
      <c r="G81" s="334">
        <v>5.03</v>
      </c>
      <c r="H81" s="257">
        <v>17697</v>
      </c>
      <c r="I81" s="257">
        <v>2</v>
      </c>
      <c r="J81" s="303">
        <f t="shared" si="8"/>
        <v>178031.82</v>
      </c>
      <c r="K81" s="337">
        <f t="shared" si="9"/>
        <v>17</v>
      </c>
      <c r="L81" s="380"/>
      <c r="M81" s="338"/>
      <c r="N81" s="380">
        <v>15</v>
      </c>
      <c r="O81" s="338">
        <f t="shared" si="16"/>
        <v>166904.83125000002</v>
      </c>
      <c r="P81" s="380">
        <v>2</v>
      </c>
      <c r="Q81" s="303">
        <f t="shared" si="34"/>
        <v>22253.977500000001</v>
      </c>
      <c r="R81" s="303">
        <f t="shared" si="10"/>
        <v>47289.702187500006</v>
      </c>
      <c r="S81" s="303">
        <f t="shared" si="11"/>
        <v>236448.51093750005</v>
      </c>
      <c r="T81" s="303">
        <f t="shared" si="12"/>
        <v>23644.851093750007</v>
      </c>
      <c r="U81" s="303"/>
      <c r="V81" s="303"/>
      <c r="W81" s="303">
        <v>60</v>
      </c>
      <c r="X81" s="303">
        <v>10618</v>
      </c>
      <c r="Y81" s="338"/>
      <c r="Z81" s="338"/>
      <c r="AA81" s="338">
        <v>50</v>
      </c>
      <c r="AB81" s="338">
        <f>(K81*17697*50%)/16</f>
        <v>9401.53125</v>
      </c>
      <c r="AC81" s="303"/>
      <c r="AD81" s="303"/>
      <c r="AE81" s="303">
        <f t="shared" si="13"/>
        <v>70934.553281249988</v>
      </c>
      <c r="AF81" s="338"/>
      <c r="AG81" s="338"/>
      <c r="AH81" s="303"/>
      <c r="AI81" s="303"/>
      <c r="AJ81" s="303">
        <f t="shared" si="21"/>
        <v>82756.978828125008</v>
      </c>
      <c r="AK81" s="303"/>
      <c r="AL81" s="303"/>
      <c r="AM81" s="303">
        <f t="shared" si="14"/>
        <v>433804.42539062502</v>
      </c>
      <c r="AN81" s="303">
        <f t="shared" si="15"/>
        <v>5205.6531046875007</v>
      </c>
      <c r="AO81" s="246"/>
    </row>
    <row r="82" spans="1:41" s="247" customFormat="1" ht="30" customHeight="1" x14ac:dyDescent="0.2">
      <c r="A82" s="304">
        <v>65</v>
      </c>
      <c r="B82" s="326"/>
      <c r="C82" s="330" t="s">
        <v>650</v>
      </c>
      <c r="D82" s="331" t="s">
        <v>37</v>
      </c>
      <c r="E82" s="332" t="s">
        <v>614</v>
      </c>
      <c r="F82" s="333">
        <v>11.01</v>
      </c>
      <c r="G82" s="334">
        <v>4.8600000000000003</v>
      </c>
      <c r="H82" s="257">
        <v>17697</v>
      </c>
      <c r="I82" s="257">
        <v>2</v>
      </c>
      <c r="J82" s="303">
        <f t="shared" si="8"/>
        <v>172014.84000000003</v>
      </c>
      <c r="K82" s="337">
        <f t="shared" si="9"/>
        <v>19</v>
      </c>
      <c r="L82" s="380"/>
      <c r="M82" s="338"/>
      <c r="N82" s="380">
        <v>7</v>
      </c>
      <c r="O82" s="338">
        <f t="shared" si="16"/>
        <v>75256.492500000008</v>
      </c>
      <c r="P82" s="380">
        <v>12</v>
      </c>
      <c r="Q82" s="303">
        <f t="shared" si="34"/>
        <v>129011.13000000002</v>
      </c>
      <c r="R82" s="303">
        <f t="shared" si="10"/>
        <v>51066.905625000007</v>
      </c>
      <c r="S82" s="303">
        <f t="shared" si="11"/>
        <v>255334.52812500004</v>
      </c>
      <c r="T82" s="303">
        <f t="shared" si="12"/>
        <v>25533.452812500007</v>
      </c>
      <c r="U82" s="303"/>
      <c r="V82" s="303"/>
      <c r="W82" s="303">
        <v>60</v>
      </c>
      <c r="X82" s="303">
        <v>10618</v>
      </c>
      <c r="Y82" s="338">
        <v>40</v>
      </c>
      <c r="Z82" s="338">
        <f t="shared" ref="Z82" si="46">(K82*17697*40%)/16</f>
        <v>8406.0750000000007</v>
      </c>
      <c r="AA82" s="338"/>
      <c r="AB82" s="338"/>
      <c r="AC82" s="303"/>
      <c r="AD82" s="303"/>
      <c r="AE82" s="303">
        <f t="shared" si="13"/>
        <v>76600.358437500006</v>
      </c>
      <c r="AF82" s="338"/>
      <c r="AG82" s="338"/>
      <c r="AH82" s="303"/>
      <c r="AI82" s="303"/>
      <c r="AJ82" s="303">
        <f t="shared" si="21"/>
        <v>89367.08484375001</v>
      </c>
      <c r="AK82" s="303"/>
      <c r="AL82" s="303"/>
      <c r="AM82" s="303">
        <f t="shared" si="14"/>
        <v>465859.49921875005</v>
      </c>
      <c r="AN82" s="303">
        <f t="shared" si="15"/>
        <v>5590.3139906250008</v>
      </c>
      <c r="AO82" s="246"/>
    </row>
    <row r="83" spans="1:41" s="247" customFormat="1" ht="30" customHeight="1" x14ac:dyDescent="0.2">
      <c r="A83" s="304">
        <v>66</v>
      </c>
      <c r="B83" s="326"/>
      <c r="C83" s="330" t="s">
        <v>646</v>
      </c>
      <c r="D83" s="331" t="s">
        <v>37</v>
      </c>
      <c r="E83" s="332" t="s">
        <v>614</v>
      </c>
      <c r="F83" s="333">
        <v>30.02</v>
      </c>
      <c r="G83" s="334">
        <v>5.2</v>
      </c>
      <c r="H83" s="257">
        <v>17697</v>
      </c>
      <c r="I83" s="257">
        <v>2</v>
      </c>
      <c r="J83" s="303">
        <f t="shared" ref="J83:J109" si="47">G83*H83*I83</f>
        <v>184048.80000000002</v>
      </c>
      <c r="K83" s="337">
        <f t="shared" ref="K83:K109" si="48">L83+N83+P83</f>
        <v>17</v>
      </c>
      <c r="L83" s="380">
        <v>17</v>
      </c>
      <c r="M83" s="338">
        <f t="shared" si="19"/>
        <v>195551.85</v>
      </c>
      <c r="N83" s="380"/>
      <c r="O83" s="338"/>
      <c r="P83" s="380"/>
      <c r="Q83" s="303"/>
      <c r="R83" s="303">
        <f t="shared" ref="R83:R108" si="49">(M83+O83+Q83)/4</f>
        <v>48887.962500000001</v>
      </c>
      <c r="S83" s="303">
        <f t="shared" ref="S83:S108" si="50">M83+O83+Q83+R83</f>
        <v>244439.8125</v>
      </c>
      <c r="T83" s="303">
        <f t="shared" ref="T83:T108" si="51">S83*0.1</f>
        <v>24443.981250000001</v>
      </c>
      <c r="U83" s="303">
        <v>50</v>
      </c>
      <c r="V83" s="303">
        <v>8848</v>
      </c>
      <c r="W83" s="303"/>
      <c r="X83" s="303"/>
      <c r="Y83" s="338">
        <v>40</v>
      </c>
      <c r="Z83" s="338">
        <f>(11*17697*40%)/16</f>
        <v>4866.6750000000002</v>
      </c>
      <c r="AA83" s="338"/>
      <c r="AB83" s="338"/>
      <c r="AC83" s="303"/>
      <c r="AD83" s="303"/>
      <c r="AE83" s="303">
        <f t="shared" ref="AE83:AE108" si="52">(J83*K83/16*1.25*0.3)</f>
        <v>73331.943749999991</v>
      </c>
      <c r="AF83" s="338"/>
      <c r="AG83" s="338"/>
      <c r="AH83" s="303"/>
      <c r="AI83" s="303"/>
      <c r="AJ83" s="303">
        <f t="shared" si="21"/>
        <v>85553.934374999997</v>
      </c>
      <c r="AK83" s="303"/>
      <c r="AL83" s="303"/>
      <c r="AM83" s="303">
        <f t="shared" ref="AM83:AM108" si="53">S83+T83+V83+X83+Z83+AB83+AC83+AD83+AE83+AG83+AH83+AI83+AJ83+AK83+AL83</f>
        <v>441484.34687499999</v>
      </c>
      <c r="AN83" s="303">
        <f t="shared" ref="AN83:AN108" si="54">AM83*12/1000</f>
        <v>5297.8121624999994</v>
      </c>
      <c r="AO83" s="246"/>
    </row>
    <row r="84" spans="1:41" s="247" customFormat="1" ht="30" customHeight="1" x14ac:dyDescent="0.2">
      <c r="A84" s="304">
        <v>67</v>
      </c>
      <c r="B84" s="326"/>
      <c r="C84" s="330" t="s">
        <v>642</v>
      </c>
      <c r="D84" s="331" t="s">
        <v>37</v>
      </c>
      <c r="E84" s="332" t="s">
        <v>614</v>
      </c>
      <c r="F84" s="333">
        <v>22.04</v>
      </c>
      <c r="G84" s="334">
        <v>5.12</v>
      </c>
      <c r="H84" s="257">
        <v>17697</v>
      </c>
      <c r="I84" s="257">
        <v>2</v>
      </c>
      <c r="J84" s="303">
        <f t="shared" si="47"/>
        <v>181217.28</v>
      </c>
      <c r="K84" s="337">
        <f t="shared" si="48"/>
        <v>18</v>
      </c>
      <c r="L84" s="380"/>
      <c r="M84" s="338"/>
      <c r="N84" s="380">
        <v>12</v>
      </c>
      <c r="O84" s="338">
        <f t="shared" si="16"/>
        <v>135912.95999999999</v>
      </c>
      <c r="P84" s="380">
        <v>6</v>
      </c>
      <c r="Q84" s="303">
        <f t="shared" si="34"/>
        <v>67956.479999999996</v>
      </c>
      <c r="R84" s="303">
        <f t="shared" si="49"/>
        <v>50967.360000000001</v>
      </c>
      <c r="S84" s="303">
        <f t="shared" si="50"/>
        <v>254836.8</v>
      </c>
      <c r="T84" s="303">
        <f t="shared" si="51"/>
        <v>25483.68</v>
      </c>
      <c r="U84" s="303"/>
      <c r="V84" s="303"/>
      <c r="W84" s="303">
        <v>60</v>
      </c>
      <c r="X84" s="303">
        <v>10618</v>
      </c>
      <c r="Y84" s="338"/>
      <c r="Z84" s="338"/>
      <c r="AA84" s="338">
        <v>50</v>
      </c>
      <c r="AB84" s="338">
        <f>(17*17697*50%)/16</f>
        <v>9401.53125</v>
      </c>
      <c r="AC84" s="303"/>
      <c r="AD84" s="303"/>
      <c r="AE84" s="303">
        <f t="shared" si="52"/>
        <v>76451.039999999994</v>
      </c>
      <c r="AF84" s="338"/>
      <c r="AG84" s="338"/>
      <c r="AH84" s="303"/>
      <c r="AI84" s="303"/>
      <c r="AJ84" s="303">
        <f t="shared" si="21"/>
        <v>89192.87999999999</v>
      </c>
      <c r="AK84" s="303"/>
      <c r="AL84" s="303"/>
      <c r="AM84" s="303">
        <f t="shared" si="53"/>
        <v>465983.93124999997</v>
      </c>
      <c r="AN84" s="303">
        <f t="shared" si="54"/>
        <v>5591.8071749999999</v>
      </c>
      <c r="AO84" s="246"/>
    </row>
    <row r="85" spans="1:41" s="2" customFormat="1" ht="30" customHeight="1" x14ac:dyDescent="0.2">
      <c r="A85" s="304">
        <v>68</v>
      </c>
      <c r="B85" s="326"/>
      <c r="C85" s="330" t="s">
        <v>657</v>
      </c>
      <c r="D85" s="331" t="s">
        <v>37</v>
      </c>
      <c r="E85" s="332" t="s">
        <v>644</v>
      </c>
      <c r="F85" s="333">
        <v>20.010000000000002</v>
      </c>
      <c r="G85" s="334">
        <v>5.08</v>
      </c>
      <c r="H85" s="257">
        <v>17697</v>
      </c>
      <c r="I85" s="257">
        <v>2</v>
      </c>
      <c r="J85" s="303">
        <f t="shared" si="47"/>
        <v>179801.52</v>
      </c>
      <c r="K85" s="337">
        <f t="shared" si="48"/>
        <v>18</v>
      </c>
      <c r="L85" s="380">
        <v>10</v>
      </c>
      <c r="M85" s="338">
        <f t="shared" ref="M85:M108" si="55">L85*J85/16</f>
        <v>112375.95</v>
      </c>
      <c r="N85" s="380">
        <v>4</v>
      </c>
      <c r="O85" s="338">
        <f t="shared" ref="O85:O106" si="56">N85*J85/16</f>
        <v>44950.38</v>
      </c>
      <c r="P85" s="380">
        <v>4</v>
      </c>
      <c r="Q85" s="338">
        <f t="shared" si="34"/>
        <v>44950.38</v>
      </c>
      <c r="R85" s="303">
        <f t="shared" si="49"/>
        <v>50569.177499999998</v>
      </c>
      <c r="S85" s="303">
        <f t="shared" si="50"/>
        <v>252845.88749999998</v>
      </c>
      <c r="T85" s="303">
        <f t="shared" si="51"/>
        <v>25284.588749999999</v>
      </c>
      <c r="U85" s="338"/>
      <c r="V85" s="338"/>
      <c r="W85" s="338"/>
      <c r="X85" s="338"/>
      <c r="Y85" s="338"/>
      <c r="Z85" s="338"/>
      <c r="AA85" s="338"/>
      <c r="AB85" s="338"/>
      <c r="AC85" s="338"/>
      <c r="AD85" s="338"/>
      <c r="AE85" s="303">
        <f t="shared" si="52"/>
        <v>75853.766249999986</v>
      </c>
      <c r="AF85" s="338"/>
      <c r="AG85" s="338"/>
      <c r="AH85" s="338"/>
      <c r="AI85" s="338">
        <f>S85*0.3</f>
        <v>75853.766249999986</v>
      </c>
      <c r="AJ85" s="303"/>
      <c r="AK85" s="338"/>
      <c r="AL85" s="338"/>
      <c r="AM85" s="303">
        <f t="shared" si="53"/>
        <v>429838.00874999998</v>
      </c>
      <c r="AN85" s="303">
        <f t="shared" si="54"/>
        <v>5158.0561049999997</v>
      </c>
      <c r="AO85" s="204"/>
    </row>
    <row r="86" spans="1:41" s="247" customFormat="1" ht="30" customHeight="1" x14ac:dyDescent="0.2">
      <c r="A86" s="304">
        <v>69</v>
      </c>
      <c r="B86" s="326"/>
      <c r="C86" s="330" t="s">
        <v>649</v>
      </c>
      <c r="D86" s="331" t="s">
        <v>37</v>
      </c>
      <c r="E86" s="332" t="s">
        <v>614</v>
      </c>
      <c r="F86" s="333">
        <v>12.02</v>
      </c>
      <c r="G86" s="334">
        <v>4.8600000000000003</v>
      </c>
      <c r="H86" s="257">
        <v>17697</v>
      </c>
      <c r="I86" s="257">
        <v>2</v>
      </c>
      <c r="J86" s="303">
        <f t="shared" si="47"/>
        <v>172014.84000000003</v>
      </c>
      <c r="K86" s="337">
        <f t="shared" si="48"/>
        <v>12</v>
      </c>
      <c r="L86" s="380"/>
      <c r="M86" s="338"/>
      <c r="N86" s="380">
        <v>9</v>
      </c>
      <c r="O86" s="338">
        <f t="shared" si="56"/>
        <v>96758.347500000018</v>
      </c>
      <c r="P86" s="380">
        <v>3</v>
      </c>
      <c r="Q86" s="303">
        <f t="shared" si="34"/>
        <v>32252.782500000005</v>
      </c>
      <c r="R86" s="303">
        <f t="shared" si="49"/>
        <v>32252.782500000005</v>
      </c>
      <c r="S86" s="303">
        <f t="shared" si="50"/>
        <v>161263.91250000003</v>
      </c>
      <c r="T86" s="303">
        <f t="shared" si="51"/>
        <v>16126.391250000004</v>
      </c>
      <c r="U86" s="303"/>
      <c r="V86" s="303"/>
      <c r="W86" s="303">
        <v>60</v>
      </c>
      <c r="X86" s="303">
        <v>10618</v>
      </c>
      <c r="Y86" s="338"/>
      <c r="Z86" s="338"/>
      <c r="AA86" s="338"/>
      <c r="AB86" s="338"/>
      <c r="AC86" s="303"/>
      <c r="AD86" s="303"/>
      <c r="AE86" s="303">
        <f t="shared" si="52"/>
        <v>48379.173750000009</v>
      </c>
      <c r="AF86" s="338"/>
      <c r="AG86" s="338"/>
      <c r="AH86" s="303"/>
      <c r="AI86" s="303"/>
      <c r="AJ86" s="303">
        <f t="shared" ref="AJ86:AJ108" si="57">S86*0.35</f>
        <v>56442.369375000009</v>
      </c>
      <c r="AK86" s="303"/>
      <c r="AL86" s="303"/>
      <c r="AM86" s="303">
        <f t="shared" si="53"/>
        <v>292829.84687500005</v>
      </c>
      <c r="AN86" s="303">
        <f t="shared" si="54"/>
        <v>3513.9581625000005</v>
      </c>
      <c r="AO86" s="246"/>
    </row>
    <row r="87" spans="1:41" s="247" customFormat="1" ht="30" customHeight="1" x14ac:dyDescent="0.2">
      <c r="A87" s="304">
        <v>70</v>
      </c>
      <c r="B87" s="326"/>
      <c r="C87" s="330" t="s">
        <v>646</v>
      </c>
      <c r="D87" s="331" t="s">
        <v>37</v>
      </c>
      <c r="E87" s="332" t="s">
        <v>614</v>
      </c>
      <c r="F87" s="333">
        <v>17.04</v>
      </c>
      <c r="G87" s="334">
        <v>5.03</v>
      </c>
      <c r="H87" s="257">
        <v>17697</v>
      </c>
      <c r="I87" s="257">
        <v>2</v>
      </c>
      <c r="J87" s="303">
        <f t="shared" si="47"/>
        <v>178031.82</v>
      </c>
      <c r="K87" s="337">
        <f t="shared" si="48"/>
        <v>19</v>
      </c>
      <c r="L87" s="380">
        <v>19</v>
      </c>
      <c r="M87" s="338">
        <f t="shared" si="55"/>
        <v>211412.78625</v>
      </c>
      <c r="N87" s="380"/>
      <c r="O87" s="338"/>
      <c r="P87" s="380"/>
      <c r="Q87" s="303"/>
      <c r="R87" s="303">
        <f t="shared" si="49"/>
        <v>52853.196562500001</v>
      </c>
      <c r="S87" s="303">
        <f t="shared" si="50"/>
        <v>264265.98281249998</v>
      </c>
      <c r="T87" s="303">
        <f t="shared" si="51"/>
        <v>26426.598281250001</v>
      </c>
      <c r="U87" s="303">
        <v>50</v>
      </c>
      <c r="V87" s="303">
        <v>8848</v>
      </c>
      <c r="W87" s="303"/>
      <c r="X87" s="303"/>
      <c r="Y87" s="338">
        <v>40</v>
      </c>
      <c r="Z87" s="338">
        <f>(12*17697*40%)/16</f>
        <v>5309.1</v>
      </c>
      <c r="AA87" s="338"/>
      <c r="AB87" s="338"/>
      <c r="AC87" s="303"/>
      <c r="AD87" s="303"/>
      <c r="AE87" s="303">
        <f t="shared" si="52"/>
        <v>79279.794843749987</v>
      </c>
      <c r="AF87" s="338"/>
      <c r="AG87" s="338"/>
      <c r="AH87" s="303"/>
      <c r="AI87" s="303"/>
      <c r="AJ87" s="303">
        <f t="shared" si="57"/>
        <v>92493.09398437498</v>
      </c>
      <c r="AK87" s="303"/>
      <c r="AL87" s="303"/>
      <c r="AM87" s="303">
        <f t="shared" si="53"/>
        <v>476622.56992187491</v>
      </c>
      <c r="AN87" s="303">
        <f t="shared" si="54"/>
        <v>5719.4708390624992</v>
      </c>
      <c r="AO87" s="246"/>
    </row>
    <row r="88" spans="1:41" s="247" customFormat="1" ht="30" customHeight="1" x14ac:dyDescent="0.2">
      <c r="A88" s="304">
        <v>71</v>
      </c>
      <c r="B88" s="326"/>
      <c r="C88" s="330" t="s">
        <v>739</v>
      </c>
      <c r="D88" s="331" t="s">
        <v>37</v>
      </c>
      <c r="E88" s="332" t="s">
        <v>615</v>
      </c>
      <c r="F88" s="333">
        <v>6.08</v>
      </c>
      <c r="G88" s="334">
        <v>4.66</v>
      </c>
      <c r="H88" s="257">
        <v>17697</v>
      </c>
      <c r="I88" s="257">
        <v>2</v>
      </c>
      <c r="J88" s="303">
        <f t="shared" si="47"/>
        <v>164936.04</v>
      </c>
      <c r="K88" s="337">
        <f t="shared" si="48"/>
        <v>18</v>
      </c>
      <c r="L88" s="380"/>
      <c r="M88" s="338"/>
      <c r="N88" s="380">
        <v>18</v>
      </c>
      <c r="O88" s="338">
        <f t="shared" si="56"/>
        <v>185553.04500000001</v>
      </c>
      <c r="P88" s="380"/>
      <c r="Q88" s="303"/>
      <c r="R88" s="303">
        <f t="shared" si="49"/>
        <v>46388.261250000003</v>
      </c>
      <c r="S88" s="303">
        <f t="shared" si="50"/>
        <v>231941.30625000002</v>
      </c>
      <c r="T88" s="303">
        <f t="shared" si="51"/>
        <v>23194.130625000005</v>
      </c>
      <c r="U88" s="303"/>
      <c r="V88" s="303"/>
      <c r="W88" s="303"/>
      <c r="X88" s="303"/>
      <c r="Y88" s="338">
        <v>40</v>
      </c>
      <c r="Z88" s="338">
        <f t="shared" ref="Z88" si="58">(K88*17697*40%)/16</f>
        <v>7963.6500000000005</v>
      </c>
      <c r="AA88" s="338"/>
      <c r="AB88" s="338"/>
      <c r="AC88" s="303"/>
      <c r="AD88" s="303"/>
      <c r="AE88" s="303">
        <f t="shared" si="52"/>
        <v>69582.391875000001</v>
      </c>
      <c r="AF88" s="338"/>
      <c r="AG88" s="338"/>
      <c r="AH88" s="303"/>
      <c r="AI88" s="338">
        <f>S88*0.3</f>
        <v>69582.391875000001</v>
      </c>
      <c r="AJ88" s="303"/>
      <c r="AK88" s="303"/>
      <c r="AL88" s="303"/>
      <c r="AM88" s="303">
        <f t="shared" si="53"/>
        <v>402263.87062499998</v>
      </c>
      <c r="AN88" s="303">
        <f t="shared" si="54"/>
        <v>4827.1664474999998</v>
      </c>
      <c r="AO88" s="246"/>
    </row>
    <row r="89" spans="1:41" s="247" customFormat="1" ht="30" customHeight="1" x14ac:dyDescent="0.2">
      <c r="A89" s="304">
        <v>72</v>
      </c>
      <c r="B89" s="326"/>
      <c r="C89" s="330" t="s">
        <v>645</v>
      </c>
      <c r="D89" s="331" t="s">
        <v>37</v>
      </c>
      <c r="E89" s="332" t="s">
        <v>609</v>
      </c>
      <c r="F89" s="333">
        <v>3</v>
      </c>
      <c r="G89" s="334">
        <v>4.1900000000000004</v>
      </c>
      <c r="H89" s="257">
        <v>17697</v>
      </c>
      <c r="I89" s="257">
        <v>2</v>
      </c>
      <c r="J89" s="303">
        <f t="shared" si="47"/>
        <v>148300.86000000002</v>
      </c>
      <c r="K89" s="337">
        <f t="shared" si="48"/>
        <v>16</v>
      </c>
      <c r="L89" s="380">
        <v>9</v>
      </c>
      <c r="M89" s="338">
        <f t="shared" si="55"/>
        <v>83419.233750000014</v>
      </c>
      <c r="N89" s="380">
        <v>7</v>
      </c>
      <c r="O89" s="338">
        <f t="shared" si="56"/>
        <v>64881.626250000008</v>
      </c>
      <c r="P89" s="380"/>
      <c r="Q89" s="303"/>
      <c r="R89" s="303">
        <f t="shared" si="49"/>
        <v>37075.215000000004</v>
      </c>
      <c r="S89" s="303">
        <f t="shared" si="50"/>
        <v>185376.07500000001</v>
      </c>
      <c r="T89" s="303">
        <f t="shared" si="51"/>
        <v>18537.607500000002</v>
      </c>
      <c r="U89" s="303"/>
      <c r="V89" s="303"/>
      <c r="W89" s="303"/>
      <c r="X89" s="303"/>
      <c r="Y89" s="338"/>
      <c r="Z89" s="338"/>
      <c r="AA89" s="338"/>
      <c r="AB89" s="338"/>
      <c r="AC89" s="303"/>
      <c r="AD89" s="303"/>
      <c r="AE89" s="303">
        <f t="shared" si="52"/>
        <v>55612.822500000002</v>
      </c>
      <c r="AF89" s="338">
        <v>3</v>
      </c>
      <c r="AG89" s="338">
        <f t="shared" ref="AG89:AG108" si="59">AF89*442</f>
        <v>1326</v>
      </c>
      <c r="AH89" s="303"/>
      <c r="AI89" s="303"/>
      <c r="AJ89" s="303"/>
      <c r="AK89" s="303"/>
      <c r="AL89" s="303"/>
      <c r="AM89" s="303">
        <f t="shared" si="53"/>
        <v>260852.50500000003</v>
      </c>
      <c r="AN89" s="303">
        <f t="shared" si="54"/>
        <v>3130.2300600000003</v>
      </c>
      <c r="AO89" s="246"/>
    </row>
    <row r="90" spans="1:41" s="247" customFormat="1" ht="30" customHeight="1" x14ac:dyDescent="0.2">
      <c r="A90" s="304">
        <v>73</v>
      </c>
      <c r="B90" s="326"/>
      <c r="C90" s="330" t="s">
        <v>646</v>
      </c>
      <c r="D90" s="331" t="s">
        <v>37</v>
      </c>
      <c r="E90" s="332" t="s">
        <v>643</v>
      </c>
      <c r="F90" s="333">
        <v>30.1</v>
      </c>
      <c r="G90" s="334">
        <v>5.41</v>
      </c>
      <c r="H90" s="257">
        <v>17697</v>
      </c>
      <c r="I90" s="257">
        <v>2</v>
      </c>
      <c r="J90" s="303">
        <f t="shared" si="47"/>
        <v>191481.54</v>
      </c>
      <c r="K90" s="337">
        <f t="shared" si="48"/>
        <v>20</v>
      </c>
      <c r="L90" s="380">
        <v>20</v>
      </c>
      <c r="M90" s="338">
        <f t="shared" si="55"/>
        <v>239351.92500000002</v>
      </c>
      <c r="N90" s="380"/>
      <c r="O90" s="338"/>
      <c r="P90" s="380"/>
      <c r="Q90" s="303"/>
      <c r="R90" s="303">
        <f t="shared" si="49"/>
        <v>59837.981250000004</v>
      </c>
      <c r="S90" s="303">
        <f t="shared" si="50"/>
        <v>299189.90625</v>
      </c>
      <c r="T90" s="303">
        <f t="shared" si="51"/>
        <v>29918.990625000002</v>
      </c>
      <c r="U90" s="303">
        <v>50</v>
      </c>
      <c r="V90" s="303">
        <v>8848</v>
      </c>
      <c r="W90" s="303"/>
      <c r="X90" s="303"/>
      <c r="Y90" s="338">
        <v>40</v>
      </c>
      <c r="Z90" s="338">
        <f>(11*17697*40%)/16</f>
        <v>4866.6750000000002</v>
      </c>
      <c r="AA90" s="338"/>
      <c r="AB90" s="338"/>
      <c r="AC90" s="303"/>
      <c r="AD90" s="303"/>
      <c r="AE90" s="303">
        <f t="shared" si="52"/>
        <v>89756.971875000003</v>
      </c>
      <c r="AF90" s="338">
        <v>4</v>
      </c>
      <c r="AG90" s="338">
        <f t="shared" si="59"/>
        <v>1768</v>
      </c>
      <c r="AH90" s="303"/>
      <c r="AI90" s="303"/>
      <c r="AJ90" s="303"/>
      <c r="AK90" s="303">
        <f>S90*0.4</f>
        <v>119675.96250000001</v>
      </c>
      <c r="AL90" s="303"/>
      <c r="AM90" s="303">
        <f t="shared" si="53"/>
        <v>554024.50624999998</v>
      </c>
      <c r="AN90" s="303">
        <f t="shared" si="54"/>
        <v>6648.2940749999989</v>
      </c>
      <c r="AO90" s="246"/>
    </row>
    <row r="91" spans="1:41" s="247" customFormat="1" ht="30" customHeight="1" x14ac:dyDescent="0.2">
      <c r="A91" s="304">
        <v>74</v>
      </c>
      <c r="B91" s="326"/>
      <c r="C91" s="330" t="s">
        <v>659</v>
      </c>
      <c r="D91" s="331" t="s">
        <v>37</v>
      </c>
      <c r="E91" s="332" t="s">
        <v>644</v>
      </c>
      <c r="F91" s="333">
        <v>31.01</v>
      </c>
      <c r="G91" s="334">
        <v>5.16</v>
      </c>
      <c r="H91" s="257">
        <v>17697</v>
      </c>
      <c r="I91" s="257">
        <v>2</v>
      </c>
      <c r="J91" s="303">
        <f t="shared" si="47"/>
        <v>182633.04</v>
      </c>
      <c r="K91" s="337">
        <f t="shared" si="48"/>
        <v>8</v>
      </c>
      <c r="L91" s="380">
        <v>2</v>
      </c>
      <c r="M91" s="338">
        <f t="shared" si="55"/>
        <v>22829.13</v>
      </c>
      <c r="N91" s="380">
        <v>6</v>
      </c>
      <c r="O91" s="338">
        <f t="shared" si="56"/>
        <v>68487.39</v>
      </c>
      <c r="P91" s="380"/>
      <c r="Q91" s="303"/>
      <c r="R91" s="303">
        <f t="shared" si="49"/>
        <v>22829.13</v>
      </c>
      <c r="S91" s="303">
        <f t="shared" si="50"/>
        <v>114145.65000000001</v>
      </c>
      <c r="T91" s="303">
        <f t="shared" si="51"/>
        <v>11414.565000000002</v>
      </c>
      <c r="U91" s="303"/>
      <c r="V91" s="303"/>
      <c r="W91" s="303"/>
      <c r="X91" s="303"/>
      <c r="Y91" s="338"/>
      <c r="Z91" s="338"/>
      <c r="AA91" s="338"/>
      <c r="AB91" s="338"/>
      <c r="AC91" s="303"/>
      <c r="AD91" s="303"/>
      <c r="AE91" s="303">
        <f t="shared" si="52"/>
        <v>34243.695</v>
      </c>
      <c r="AF91" s="338">
        <v>8</v>
      </c>
      <c r="AG91" s="338">
        <f t="shared" si="59"/>
        <v>3536</v>
      </c>
      <c r="AH91" s="303"/>
      <c r="AI91" s="303">
        <f>S91*0.3</f>
        <v>34243.695</v>
      </c>
      <c r="AJ91" s="303"/>
      <c r="AK91" s="303"/>
      <c r="AL91" s="303"/>
      <c r="AM91" s="303">
        <f t="shared" si="53"/>
        <v>197583.60500000001</v>
      </c>
      <c r="AN91" s="303">
        <f t="shared" si="54"/>
        <v>2371.0032600000004</v>
      </c>
      <c r="AO91" s="246"/>
    </row>
    <row r="92" spans="1:41" s="247" customFormat="1" ht="30" customHeight="1" x14ac:dyDescent="0.2">
      <c r="A92" s="304">
        <v>75</v>
      </c>
      <c r="B92" s="326"/>
      <c r="C92" s="330" t="s">
        <v>651</v>
      </c>
      <c r="D92" s="331" t="s">
        <v>37</v>
      </c>
      <c r="E92" s="332" t="s">
        <v>643</v>
      </c>
      <c r="F92" s="333">
        <v>16.04</v>
      </c>
      <c r="G92" s="334">
        <v>5.24</v>
      </c>
      <c r="H92" s="257">
        <v>17697</v>
      </c>
      <c r="I92" s="257">
        <v>2</v>
      </c>
      <c r="J92" s="303">
        <f t="shared" si="47"/>
        <v>185464.56</v>
      </c>
      <c r="K92" s="337">
        <f t="shared" si="48"/>
        <v>22</v>
      </c>
      <c r="L92" s="380"/>
      <c r="M92" s="338"/>
      <c r="N92" s="380">
        <v>18</v>
      </c>
      <c r="O92" s="338">
        <f t="shared" si="56"/>
        <v>208647.63</v>
      </c>
      <c r="P92" s="380">
        <v>4</v>
      </c>
      <c r="Q92" s="303">
        <f t="shared" si="34"/>
        <v>46366.14</v>
      </c>
      <c r="R92" s="303">
        <f t="shared" si="49"/>
        <v>63753.442500000005</v>
      </c>
      <c r="S92" s="303">
        <f t="shared" si="50"/>
        <v>318767.21250000002</v>
      </c>
      <c r="T92" s="303">
        <f t="shared" si="51"/>
        <v>31876.721250000002</v>
      </c>
      <c r="U92" s="303"/>
      <c r="V92" s="303"/>
      <c r="W92" s="303">
        <v>60</v>
      </c>
      <c r="X92" s="303">
        <v>10618</v>
      </c>
      <c r="Y92" s="338"/>
      <c r="Z92" s="338"/>
      <c r="AA92" s="338">
        <v>50</v>
      </c>
      <c r="AB92" s="338">
        <f>(K92*17697*50%)/16/2</f>
        <v>6083.34375</v>
      </c>
      <c r="AC92" s="303"/>
      <c r="AD92" s="303"/>
      <c r="AE92" s="303">
        <f t="shared" si="52"/>
        <v>95630.163749999992</v>
      </c>
      <c r="AF92" s="338"/>
      <c r="AG92" s="338"/>
      <c r="AH92" s="303"/>
      <c r="AI92" s="303"/>
      <c r="AJ92" s="303"/>
      <c r="AK92" s="303">
        <f>S92*0.4</f>
        <v>127506.88500000001</v>
      </c>
      <c r="AL92" s="303"/>
      <c r="AM92" s="303">
        <f t="shared" si="53"/>
        <v>590482.32625000004</v>
      </c>
      <c r="AN92" s="303">
        <f t="shared" si="54"/>
        <v>7085.7879150000008</v>
      </c>
      <c r="AO92" s="246"/>
    </row>
    <row r="93" spans="1:41" s="247" customFormat="1" ht="30" customHeight="1" x14ac:dyDescent="0.2">
      <c r="A93" s="304">
        <v>76</v>
      </c>
      <c r="B93" s="326"/>
      <c r="C93" s="330" t="s">
        <v>651</v>
      </c>
      <c r="D93" s="331" t="s">
        <v>37</v>
      </c>
      <c r="E93" s="332" t="s">
        <v>615</v>
      </c>
      <c r="F93" s="333">
        <v>7</v>
      </c>
      <c r="G93" s="334">
        <v>4.66</v>
      </c>
      <c r="H93" s="257">
        <v>17697</v>
      </c>
      <c r="I93" s="257">
        <v>2</v>
      </c>
      <c r="J93" s="303">
        <f t="shared" si="47"/>
        <v>164936.04</v>
      </c>
      <c r="K93" s="337">
        <f t="shared" si="48"/>
        <v>21</v>
      </c>
      <c r="L93" s="380"/>
      <c r="M93" s="338"/>
      <c r="N93" s="380">
        <v>21</v>
      </c>
      <c r="O93" s="338">
        <f t="shared" si="56"/>
        <v>216478.55250000002</v>
      </c>
      <c r="P93" s="380"/>
      <c r="Q93" s="303"/>
      <c r="R93" s="303">
        <f t="shared" si="49"/>
        <v>54119.638125000005</v>
      </c>
      <c r="S93" s="303">
        <f t="shared" si="50"/>
        <v>270598.19062500005</v>
      </c>
      <c r="T93" s="303">
        <f t="shared" si="51"/>
        <v>27059.819062500006</v>
      </c>
      <c r="U93" s="303"/>
      <c r="V93" s="303"/>
      <c r="W93" s="303"/>
      <c r="X93" s="303"/>
      <c r="Y93" s="338"/>
      <c r="Z93" s="338"/>
      <c r="AA93" s="338">
        <v>50</v>
      </c>
      <c r="AB93" s="338">
        <f>(18*17697*50%)/16/2</f>
        <v>4977.28125</v>
      </c>
      <c r="AC93" s="303"/>
      <c r="AD93" s="303"/>
      <c r="AE93" s="303">
        <f t="shared" si="52"/>
        <v>81179.457187500011</v>
      </c>
      <c r="AF93" s="338">
        <v>1</v>
      </c>
      <c r="AG93" s="338">
        <f t="shared" si="59"/>
        <v>442</v>
      </c>
      <c r="AH93" s="303"/>
      <c r="AI93" s="303">
        <f>S93*0.3</f>
        <v>81179.457187500011</v>
      </c>
      <c r="AJ93" s="303"/>
      <c r="AK93" s="303"/>
      <c r="AL93" s="303"/>
      <c r="AM93" s="303">
        <f t="shared" si="53"/>
        <v>465436.20531250013</v>
      </c>
      <c r="AN93" s="303">
        <f t="shared" si="54"/>
        <v>5585.2344637500009</v>
      </c>
      <c r="AO93" s="246"/>
    </row>
    <row r="94" spans="1:41" s="247" customFormat="1" ht="30" customHeight="1" x14ac:dyDescent="0.2">
      <c r="A94" s="304">
        <v>77</v>
      </c>
      <c r="B94" s="326"/>
      <c r="C94" s="330" t="s">
        <v>649</v>
      </c>
      <c r="D94" s="331" t="s">
        <v>37</v>
      </c>
      <c r="E94" s="332" t="s">
        <v>614</v>
      </c>
      <c r="F94" s="333">
        <v>20.010000000000002</v>
      </c>
      <c r="G94" s="334">
        <v>5.12</v>
      </c>
      <c r="H94" s="257">
        <v>17697</v>
      </c>
      <c r="I94" s="257">
        <v>2</v>
      </c>
      <c r="J94" s="303">
        <f t="shared" si="47"/>
        <v>181217.28</v>
      </c>
      <c r="K94" s="337">
        <f t="shared" si="48"/>
        <v>13.5</v>
      </c>
      <c r="L94" s="380"/>
      <c r="M94" s="338"/>
      <c r="N94" s="380">
        <v>13.5</v>
      </c>
      <c r="O94" s="338">
        <f t="shared" si="56"/>
        <v>152902.07999999999</v>
      </c>
      <c r="P94" s="380"/>
      <c r="Q94" s="303"/>
      <c r="R94" s="303">
        <f t="shared" si="49"/>
        <v>38225.519999999997</v>
      </c>
      <c r="S94" s="303">
        <f t="shared" si="50"/>
        <v>191127.59999999998</v>
      </c>
      <c r="T94" s="303">
        <f t="shared" si="51"/>
        <v>19112.759999999998</v>
      </c>
      <c r="U94" s="303"/>
      <c r="V94" s="303"/>
      <c r="W94" s="303"/>
      <c r="X94" s="303"/>
      <c r="Y94" s="338"/>
      <c r="Z94" s="338"/>
      <c r="AA94" s="338"/>
      <c r="AB94" s="338"/>
      <c r="AC94" s="303"/>
      <c r="AD94" s="303"/>
      <c r="AE94" s="303">
        <f t="shared" si="52"/>
        <v>57338.279999999992</v>
      </c>
      <c r="AF94" s="338"/>
      <c r="AG94" s="338"/>
      <c r="AH94" s="303"/>
      <c r="AI94" s="303"/>
      <c r="AJ94" s="303">
        <f t="shared" si="57"/>
        <v>66894.659999999989</v>
      </c>
      <c r="AK94" s="303"/>
      <c r="AL94" s="303"/>
      <c r="AM94" s="303">
        <f t="shared" si="53"/>
        <v>334473.29999999993</v>
      </c>
      <c r="AN94" s="303">
        <f t="shared" si="54"/>
        <v>4013.679599999999</v>
      </c>
      <c r="AO94" s="246"/>
    </row>
    <row r="95" spans="1:41" s="247" customFormat="1" ht="30" customHeight="1" x14ac:dyDescent="0.2">
      <c r="A95" s="304">
        <v>78</v>
      </c>
      <c r="B95" s="326"/>
      <c r="C95" s="330" t="s">
        <v>646</v>
      </c>
      <c r="D95" s="331" t="s">
        <v>37</v>
      </c>
      <c r="E95" s="332" t="s">
        <v>643</v>
      </c>
      <c r="F95" s="333">
        <v>34.04</v>
      </c>
      <c r="G95" s="334">
        <v>5.41</v>
      </c>
      <c r="H95" s="257">
        <v>17697</v>
      </c>
      <c r="I95" s="257">
        <v>2</v>
      </c>
      <c r="J95" s="303">
        <f t="shared" si="47"/>
        <v>191481.54</v>
      </c>
      <c r="K95" s="337">
        <f t="shared" si="48"/>
        <v>18</v>
      </c>
      <c r="L95" s="380">
        <v>18</v>
      </c>
      <c r="M95" s="338">
        <f t="shared" si="55"/>
        <v>215416.73250000001</v>
      </c>
      <c r="N95" s="380"/>
      <c r="O95" s="338"/>
      <c r="P95" s="380"/>
      <c r="Q95" s="303"/>
      <c r="R95" s="303">
        <f t="shared" si="49"/>
        <v>53854.183125000003</v>
      </c>
      <c r="S95" s="303">
        <f t="shared" si="50"/>
        <v>269270.91562500002</v>
      </c>
      <c r="T95" s="303">
        <f t="shared" si="51"/>
        <v>26927.091562500005</v>
      </c>
      <c r="U95" s="303"/>
      <c r="V95" s="303"/>
      <c r="W95" s="303"/>
      <c r="X95" s="303"/>
      <c r="Y95" s="338"/>
      <c r="Z95" s="338"/>
      <c r="AA95" s="338"/>
      <c r="AB95" s="338"/>
      <c r="AC95" s="303"/>
      <c r="AD95" s="303"/>
      <c r="AE95" s="303">
        <f t="shared" si="52"/>
        <v>80781.274687500001</v>
      </c>
      <c r="AF95" s="338">
        <v>9</v>
      </c>
      <c r="AG95" s="338">
        <f t="shared" si="59"/>
        <v>3978</v>
      </c>
      <c r="AH95" s="303"/>
      <c r="AI95" s="303"/>
      <c r="AJ95" s="303"/>
      <c r="AK95" s="303">
        <f>S95*0.4</f>
        <v>107708.36625000002</v>
      </c>
      <c r="AL95" s="303"/>
      <c r="AM95" s="303">
        <f t="shared" si="53"/>
        <v>488665.64812500001</v>
      </c>
      <c r="AN95" s="303">
        <f t="shared" si="54"/>
        <v>5863.9877774999995</v>
      </c>
      <c r="AO95" s="246"/>
    </row>
    <row r="96" spans="1:41" s="247" customFormat="1" ht="30" customHeight="1" x14ac:dyDescent="0.2">
      <c r="A96" s="304">
        <v>79</v>
      </c>
      <c r="B96" s="326"/>
      <c r="C96" s="330" t="s">
        <v>645</v>
      </c>
      <c r="D96" s="331" t="s">
        <v>37</v>
      </c>
      <c r="E96" s="332" t="s">
        <v>609</v>
      </c>
      <c r="F96" s="333">
        <v>7</v>
      </c>
      <c r="G96" s="334">
        <v>4.2699999999999996</v>
      </c>
      <c r="H96" s="257">
        <v>17697</v>
      </c>
      <c r="I96" s="257">
        <v>2</v>
      </c>
      <c r="J96" s="303">
        <f t="shared" si="47"/>
        <v>151132.37999999998</v>
      </c>
      <c r="K96" s="337">
        <f t="shared" si="48"/>
        <v>14</v>
      </c>
      <c r="L96" s="380">
        <v>9</v>
      </c>
      <c r="M96" s="338">
        <f t="shared" si="55"/>
        <v>85011.963749999981</v>
      </c>
      <c r="N96" s="380">
        <v>5</v>
      </c>
      <c r="O96" s="338">
        <f t="shared" si="56"/>
        <v>47228.868749999994</v>
      </c>
      <c r="P96" s="380"/>
      <c r="Q96" s="303"/>
      <c r="R96" s="303">
        <f t="shared" si="49"/>
        <v>33060.20812499999</v>
      </c>
      <c r="S96" s="303">
        <f t="shared" si="50"/>
        <v>165301.04062499997</v>
      </c>
      <c r="T96" s="303">
        <f t="shared" si="51"/>
        <v>16530.104062499999</v>
      </c>
      <c r="U96" s="303"/>
      <c r="V96" s="303"/>
      <c r="W96" s="303"/>
      <c r="X96" s="303"/>
      <c r="Y96" s="338"/>
      <c r="Z96" s="338"/>
      <c r="AA96" s="338"/>
      <c r="AB96" s="338"/>
      <c r="AC96" s="303"/>
      <c r="AD96" s="303"/>
      <c r="AE96" s="303">
        <f t="shared" si="52"/>
        <v>49590.3121875</v>
      </c>
      <c r="AF96" s="382">
        <v>4.5</v>
      </c>
      <c r="AG96" s="338">
        <f t="shared" si="59"/>
        <v>1989</v>
      </c>
      <c r="AH96" s="303"/>
      <c r="AI96" s="303"/>
      <c r="AJ96" s="303"/>
      <c r="AK96" s="303"/>
      <c r="AL96" s="303"/>
      <c r="AM96" s="303">
        <f t="shared" si="53"/>
        <v>233410.45687499997</v>
      </c>
      <c r="AN96" s="303">
        <f t="shared" si="54"/>
        <v>2800.9254824999998</v>
      </c>
      <c r="AO96" s="246"/>
    </row>
    <row r="97" spans="1:41" s="247" customFormat="1" ht="30" customHeight="1" x14ac:dyDescent="0.2">
      <c r="A97" s="304">
        <v>80</v>
      </c>
      <c r="B97" s="326"/>
      <c r="C97" s="330" t="s">
        <v>646</v>
      </c>
      <c r="D97" s="331" t="s">
        <v>37</v>
      </c>
      <c r="E97" s="332" t="s">
        <v>644</v>
      </c>
      <c r="F97" s="333">
        <v>13.01</v>
      </c>
      <c r="G97" s="334">
        <v>4.9000000000000004</v>
      </c>
      <c r="H97" s="257">
        <v>17697</v>
      </c>
      <c r="I97" s="257">
        <v>2</v>
      </c>
      <c r="J97" s="303">
        <f t="shared" si="47"/>
        <v>173430.6</v>
      </c>
      <c r="K97" s="337">
        <f t="shared" si="48"/>
        <v>7</v>
      </c>
      <c r="L97" s="380">
        <v>7</v>
      </c>
      <c r="M97" s="338">
        <f t="shared" ref="M97" si="60">L97*J97/16</f>
        <v>75875.887499999997</v>
      </c>
      <c r="N97" s="380"/>
      <c r="O97" s="338"/>
      <c r="P97" s="380"/>
      <c r="Q97" s="303"/>
      <c r="R97" s="303">
        <f t="shared" si="49"/>
        <v>18968.971874999999</v>
      </c>
      <c r="S97" s="303">
        <f t="shared" si="50"/>
        <v>94844.859375</v>
      </c>
      <c r="T97" s="303">
        <f t="shared" si="51"/>
        <v>9484.4859374999996</v>
      </c>
      <c r="U97" s="303"/>
      <c r="V97" s="303"/>
      <c r="W97" s="303"/>
      <c r="X97" s="303"/>
      <c r="Y97" s="338"/>
      <c r="Z97" s="338"/>
      <c r="AA97" s="338"/>
      <c r="AB97" s="338"/>
      <c r="AC97" s="303"/>
      <c r="AD97" s="303"/>
      <c r="AE97" s="303">
        <f t="shared" si="52"/>
        <v>28453.457812500001</v>
      </c>
      <c r="AF97" s="338">
        <v>7</v>
      </c>
      <c r="AG97" s="338">
        <f t="shared" si="59"/>
        <v>3094</v>
      </c>
      <c r="AH97" s="303"/>
      <c r="AI97" s="303">
        <f>S97*0.3</f>
        <v>28453.457812500001</v>
      </c>
      <c r="AJ97" s="303"/>
      <c r="AK97" s="303"/>
      <c r="AL97" s="303"/>
      <c r="AM97" s="303">
        <f t="shared" si="53"/>
        <v>164330.26093750002</v>
      </c>
      <c r="AN97" s="303">
        <f t="shared" si="54"/>
        <v>1971.9631312500001</v>
      </c>
      <c r="AO97" s="246"/>
    </row>
    <row r="98" spans="1:41" s="247" customFormat="1" ht="30" customHeight="1" x14ac:dyDescent="0.2">
      <c r="A98" s="304">
        <v>81</v>
      </c>
      <c r="B98" s="326"/>
      <c r="C98" s="330" t="s">
        <v>39</v>
      </c>
      <c r="D98" s="331" t="s">
        <v>37</v>
      </c>
      <c r="E98" s="332" t="s">
        <v>614</v>
      </c>
      <c r="F98" s="333">
        <v>9.01</v>
      </c>
      <c r="G98" s="334">
        <v>4.79</v>
      </c>
      <c r="H98" s="257">
        <v>17697</v>
      </c>
      <c r="I98" s="257">
        <v>2</v>
      </c>
      <c r="J98" s="303">
        <f t="shared" si="47"/>
        <v>169537.26</v>
      </c>
      <c r="K98" s="337">
        <f t="shared" si="48"/>
        <v>24</v>
      </c>
      <c r="L98" s="380"/>
      <c r="M98" s="338"/>
      <c r="N98" s="380">
        <v>12</v>
      </c>
      <c r="O98" s="338">
        <f t="shared" si="56"/>
        <v>127152.94500000001</v>
      </c>
      <c r="P98" s="380">
        <v>12</v>
      </c>
      <c r="Q98" s="303">
        <f t="shared" si="34"/>
        <v>127152.94500000001</v>
      </c>
      <c r="R98" s="303">
        <f t="shared" si="49"/>
        <v>63576.472500000003</v>
      </c>
      <c r="S98" s="303">
        <f t="shared" si="50"/>
        <v>317882.36250000005</v>
      </c>
      <c r="T98" s="303">
        <f t="shared" si="51"/>
        <v>31788.236250000005</v>
      </c>
      <c r="U98" s="303"/>
      <c r="V98" s="303"/>
      <c r="W98" s="303"/>
      <c r="X98" s="303"/>
      <c r="Y98" s="338">
        <v>40</v>
      </c>
      <c r="Z98" s="338">
        <f>(K98*17697*40%)/16/2</f>
        <v>5309.1</v>
      </c>
      <c r="AA98" s="338"/>
      <c r="AB98" s="338"/>
      <c r="AC98" s="303"/>
      <c r="AD98" s="303"/>
      <c r="AE98" s="303">
        <f t="shared" si="52"/>
        <v>95364.708750000005</v>
      </c>
      <c r="AF98" s="338"/>
      <c r="AG98" s="338"/>
      <c r="AH98" s="303"/>
      <c r="AI98" s="303"/>
      <c r="AJ98" s="303">
        <f t="shared" si="57"/>
        <v>111258.82687500001</v>
      </c>
      <c r="AK98" s="303"/>
      <c r="AL98" s="303"/>
      <c r="AM98" s="303">
        <f t="shared" si="53"/>
        <v>561603.234375</v>
      </c>
      <c r="AN98" s="303">
        <f t="shared" si="54"/>
        <v>6739.2388124999998</v>
      </c>
      <c r="AO98" s="246"/>
    </row>
    <row r="99" spans="1:41" s="247" customFormat="1" ht="30" customHeight="1" x14ac:dyDescent="0.2">
      <c r="A99" s="304">
        <v>82</v>
      </c>
      <c r="B99" s="327"/>
      <c r="C99" s="331" t="s">
        <v>642</v>
      </c>
      <c r="D99" s="331" t="s">
        <v>37</v>
      </c>
      <c r="E99" s="332" t="s">
        <v>644</v>
      </c>
      <c r="F99" s="333">
        <v>19.059999999999999</v>
      </c>
      <c r="G99" s="334">
        <v>4.99</v>
      </c>
      <c r="H99" s="257">
        <v>17697</v>
      </c>
      <c r="I99" s="257">
        <v>2</v>
      </c>
      <c r="J99" s="303">
        <f t="shared" si="47"/>
        <v>176616.06</v>
      </c>
      <c r="K99" s="337">
        <f t="shared" si="48"/>
        <v>16</v>
      </c>
      <c r="L99" s="380"/>
      <c r="M99" s="338"/>
      <c r="N99" s="380">
        <v>15</v>
      </c>
      <c r="O99" s="338">
        <f t="shared" si="56"/>
        <v>165577.55624999999</v>
      </c>
      <c r="P99" s="380">
        <v>1</v>
      </c>
      <c r="Q99" s="303">
        <f t="shared" si="34"/>
        <v>11038.50375</v>
      </c>
      <c r="R99" s="303">
        <f t="shared" si="49"/>
        <v>44154.014999999999</v>
      </c>
      <c r="S99" s="303">
        <f t="shared" si="50"/>
        <v>220770.07500000001</v>
      </c>
      <c r="T99" s="303">
        <f t="shared" si="51"/>
        <v>22077.007500000003</v>
      </c>
      <c r="U99" s="303"/>
      <c r="V99" s="303"/>
      <c r="W99" s="303">
        <v>60</v>
      </c>
      <c r="X99" s="303">
        <v>10618</v>
      </c>
      <c r="Y99" s="338"/>
      <c r="Z99" s="338"/>
      <c r="AA99" s="338">
        <v>50</v>
      </c>
      <c r="AB99" s="338">
        <f>(K99*17697*50%)/16</f>
        <v>8848.5</v>
      </c>
      <c r="AC99" s="303"/>
      <c r="AD99" s="303"/>
      <c r="AE99" s="303">
        <f t="shared" si="52"/>
        <v>66231.022500000006</v>
      </c>
      <c r="AF99" s="338"/>
      <c r="AG99" s="338"/>
      <c r="AH99" s="303"/>
      <c r="AI99" s="303">
        <f>S99*0.3</f>
        <v>66231.022500000006</v>
      </c>
      <c r="AJ99" s="303"/>
      <c r="AK99" s="303"/>
      <c r="AL99" s="303"/>
      <c r="AM99" s="303">
        <f t="shared" si="53"/>
        <v>394775.62750000006</v>
      </c>
      <c r="AN99" s="303">
        <f t="shared" si="54"/>
        <v>4737.307530000001</v>
      </c>
      <c r="AO99" s="246"/>
    </row>
    <row r="100" spans="1:41" s="247" customFormat="1" ht="30" customHeight="1" x14ac:dyDescent="0.2">
      <c r="A100" s="304">
        <v>83</v>
      </c>
      <c r="B100" s="327"/>
      <c r="C100" s="330" t="s">
        <v>39</v>
      </c>
      <c r="D100" s="331" t="s">
        <v>37</v>
      </c>
      <c r="E100" s="332" t="s">
        <v>609</v>
      </c>
      <c r="F100" s="333">
        <v>3</v>
      </c>
      <c r="G100" s="334">
        <v>4.1900000000000004</v>
      </c>
      <c r="H100" s="257">
        <v>17697</v>
      </c>
      <c r="I100" s="257">
        <v>2</v>
      </c>
      <c r="J100" s="303">
        <f t="shared" si="47"/>
        <v>148300.86000000002</v>
      </c>
      <c r="K100" s="337">
        <f t="shared" si="48"/>
        <v>17</v>
      </c>
      <c r="L100" s="380">
        <v>17</v>
      </c>
      <c r="M100" s="338">
        <f t="shared" si="55"/>
        <v>157569.66375000001</v>
      </c>
      <c r="N100" s="380"/>
      <c r="O100" s="338"/>
      <c r="P100" s="380"/>
      <c r="Q100" s="303"/>
      <c r="R100" s="303">
        <f t="shared" si="49"/>
        <v>39392.415937500002</v>
      </c>
      <c r="S100" s="303">
        <f t="shared" si="50"/>
        <v>196962.07968750002</v>
      </c>
      <c r="T100" s="303">
        <f t="shared" si="51"/>
        <v>19696.207968750005</v>
      </c>
      <c r="U100" s="303"/>
      <c r="V100" s="303"/>
      <c r="W100" s="303"/>
      <c r="X100" s="303"/>
      <c r="Y100" s="338">
        <v>40</v>
      </c>
      <c r="Z100" s="338">
        <f>(14*17697*40%)/16/2</f>
        <v>3096.9750000000004</v>
      </c>
      <c r="AA100" s="338"/>
      <c r="AB100" s="338"/>
      <c r="AC100" s="303"/>
      <c r="AD100" s="303"/>
      <c r="AE100" s="303">
        <f t="shared" si="52"/>
        <v>59088.623906250003</v>
      </c>
      <c r="AF100" s="338">
        <v>3</v>
      </c>
      <c r="AG100" s="338">
        <f t="shared" si="59"/>
        <v>1326</v>
      </c>
      <c r="AH100" s="303"/>
      <c r="AI100" s="303"/>
      <c r="AJ100" s="303"/>
      <c r="AK100" s="303"/>
      <c r="AL100" s="303"/>
      <c r="AM100" s="303">
        <f t="shared" si="53"/>
        <v>280169.88656250003</v>
      </c>
      <c r="AN100" s="303">
        <f t="shared" si="54"/>
        <v>3362.0386387500002</v>
      </c>
      <c r="AO100" s="246"/>
    </row>
    <row r="101" spans="1:41" s="247" customFormat="1" ht="30" customHeight="1" x14ac:dyDescent="0.2">
      <c r="A101" s="304">
        <v>84</v>
      </c>
      <c r="B101" s="327"/>
      <c r="C101" s="331" t="s">
        <v>648</v>
      </c>
      <c r="D101" s="331" t="s">
        <v>37</v>
      </c>
      <c r="E101" s="332" t="s">
        <v>609</v>
      </c>
      <c r="F101" s="333">
        <v>3.1</v>
      </c>
      <c r="G101" s="334">
        <v>4.2300000000000004</v>
      </c>
      <c r="H101" s="257">
        <v>17697</v>
      </c>
      <c r="I101" s="257">
        <v>2</v>
      </c>
      <c r="J101" s="303">
        <f t="shared" si="47"/>
        <v>149716.62000000002</v>
      </c>
      <c r="K101" s="337">
        <f t="shared" si="48"/>
        <v>16</v>
      </c>
      <c r="L101" s="380"/>
      <c r="M101" s="338"/>
      <c r="N101" s="380">
        <v>16</v>
      </c>
      <c r="O101" s="338">
        <f t="shared" si="56"/>
        <v>149716.62000000002</v>
      </c>
      <c r="P101" s="380"/>
      <c r="Q101" s="303"/>
      <c r="R101" s="303">
        <f t="shared" si="49"/>
        <v>37429.155000000006</v>
      </c>
      <c r="S101" s="303">
        <f t="shared" si="50"/>
        <v>187145.77500000002</v>
      </c>
      <c r="T101" s="303">
        <f t="shared" si="51"/>
        <v>18714.577500000003</v>
      </c>
      <c r="U101" s="303"/>
      <c r="V101" s="303"/>
      <c r="W101" s="303">
        <v>60</v>
      </c>
      <c r="X101" s="303">
        <v>10618</v>
      </c>
      <c r="Y101" s="338"/>
      <c r="Z101" s="338"/>
      <c r="AA101" s="338"/>
      <c r="AB101" s="338"/>
      <c r="AC101" s="303"/>
      <c r="AD101" s="303"/>
      <c r="AE101" s="303">
        <f t="shared" si="52"/>
        <v>56143.732500000006</v>
      </c>
      <c r="AF101" s="338">
        <v>1</v>
      </c>
      <c r="AG101" s="338">
        <f t="shared" si="59"/>
        <v>442</v>
      </c>
      <c r="AH101" s="303"/>
      <c r="AI101" s="303"/>
      <c r="AJ101" s="303"/>
      <c r="AK101" s="303"/>
      <c r="AL101" s="303"/>
      <c r="AM101" s="303">
        <f t="shared" si="53"/>
        <v>273064.08500000002</v>
      </c>
      <c r="AN101" s="303">
        <f t="shared" si="54"/>
        <v>3276.7690200000006</v>
      </c>
      <c r="AO101" s="246"/>
    </row>
    <row r="102" spans="1:41" s="247" customFormat="1" ht="30" customHeight="1" x14ac:dyDescent="0.2">
      <c r="A102" s="304">
        <v>85</v>
      </c>
      <c r="B102" s="326"/>
      <c r="C102" s="330" t="s">
        <v>39</v>
      </c>
      <c r="D102" s="331" t="s">
        <v>37</v>
      </c>
      <c r="E102" s="332" t="s">
        <v>609</v>
      </c>
      <c r="F102" s="333">
        <v>2.0099999999999998</v>
      </c>
      <c r="G102" s="334">
        <v>4.1900000000000004</v>
      </c>
      <c r="H102" s="257">
        <v>17697</v>
      </c>
      <c r="I102" s="257">
        <v>2</v>
      </c>
      <c r="J102" s="303">
        <f t="shared" si="47"/>
        <v>148300.86000000002</v>
      </c>
      <c r="K102" s="337">
        <f t="shared" si="48"/>
        <v>18</v>
      </c>
      <c r="L102" s="380"/>
      <c r="M102" s="338"/>
      <c r="N102" s="380">
        <v>18</v>
      </c>
      <c r="O102" s="338">
        <f t="shared" si="56"/>
        <v>166838.46750000003</v>
      </c>
      <c r="P102" s="380"/>
      <c r="Q102" s="303"/>
      <c r="R102" s="303">
        <f t="shared" si="49"/>
        <v>41709.616875000007</v>
      </c>
      <c r="S102" s="303">
        <f t="shared" si="50"/>
        <v>208548.08437500003</v>
      </c>
      <c r="T102" s="303">
        <f t="shared" si="51"/>
        <v>20854.808437500003</v>
      </c>
      <c r="U102" s="303"/>
      <c r="V102" s="303"/>
      <c r="W102" s="303">
        <v>60</v>
      </c>
      <c r="X102" s="303">
        <v>10618</v>
      </c>
      <c r="Y102" s="338">
        <v>40</v>
      </c>
      <c r="Z102" s="338">
        <f>(K102*17697*40%)/16/2</f>
        <v>3981.8250000000003</v>
      </c>
      <c r="AA102" s="338"/>
      <c r="AB102" s="338"/>
      <c r="AC102" s="303"/>
      <c r="AD102" s="303"/>
      <c r="AE102" s="303">
        <f t="shared" si="52"/>
        <v>62564.42531250001</v>
      </c>
      <c r="AF102" s="338"/>
      <c r="AG102" s="338"/>
      <c r="AH102" s="303"/>
      <c r="AI102" s="303"/>
      <c r="AJ102" s="303"/>
      <c r="AK102" s="303"/>
      <c r="AL102" s="303"/>
      <c r="AM102" s="303">
        <f t="shared" si="53"/>
        <v>306567.14312500006</v>
      </c>
      <c r="AN102" s="303">
        <f t="shared" si="54"/>
        <v>3678.8057175000008</v>
      </c>
      <c r="AO102" s="246"/>
    </row>
    <row r="103" spans="1:41" s="247" customFormat="1" ht="30" customHeight="1" x14ac:dyDescent="0.2">
      <c r="A103" s="304">
        <v>86</v>
      </c>
      <c r="B103" s="326"/>
      <c r="C103" s="330" t="s">
        <v>660</v>
      </c>
      <c r="D103" s="331" t="s">
        <v>37</v>
      </c>
      <c r="E103" s="332" t="s">
        <v>643</v>
      </c>
      <c r="F103" s="333">
        <v>36.04</v>
      </c>
      <c r="G103" s="334">
        <v>5.41</v>
      </c>
      <c r="H103" s="257">
        <v>17697</v>
      </c>
      <c r="I103" s="257">
        <v>2</v>
      </c>
      <c r="J103" s="303">
        <f t="shared" si="47"/>
        <v>191481.54</v>
      </c>
      <c r="K103" s="337">
        <f t="shared" si="48"/>
        <v>20</v>
      </c>
      <c r="L103" s="380"/>
      <c r="M103" s="338"/>
      <c r="N103" s="380">
        <v>9</v>
      </c>
      <c r="O103" s="338">
        <f t="shared" si="56"/>
        <v>107708.36625000001</v>
      </c>
      <c r="P103" s="380">
        <v>11</v>
      </c>
      <c r="Q103" s="303">
        <f t="shared" si="34"/>
        <v>131643.55875</v>
      </c>
      <c r="R103" s="303">
        <f t="shared" si="49"/>
        <v>59837.981249999997</v>
      </c>
      <c r="S103" s="303">
        <f t="shared" si="50"/>
        <v>299189.90625</v>
      </c>
      <c r="T103" s="303">
        <f t="shared" si="51"/>
        <v>29918.990625000002</v>
      </c>
      <c r="U103" s="303"/>
      <c r="V103" s="303"/>
      <c r="W103" s="303">
        <v>60</v>
      </c>
      <c r="X103" s="303">
        <v>10618</v>
      </c>
      <c r="Y103" s="338"/>
      <c r="Z103" s="338"/>
      <c r="AA103" s="338"/>
      <c r="AB103" s="338"/>
      <c r="AC103" s="303"/>
      <c r="AD103" s="303"/>
      <c r="AE103" s="303">
        <f t="shared" si="52"/>
        <v>89756.971875000003</v>
      </c>
      <c r="AF103" s="338"/>
      <c r="AG103" s="338"/>
      <c r="AH103" s="303"/>
      <c r="AI103" s="303"/>
      <c r="AJ103" s="303"/>
      <c r="AK103" s="303">
        <f>S103*0.4</f>
        <v>119675.96250000001</v>
      </c>
      <c r="AL103" s="303"/>
      <c r="AM103" s="303">
        <f t="shared" si="53"/>
        <v>549159.83124999993</v>
      </c>
      <c r="AN103" s="303">
        <f t="shared" si="54"/>
        <v>6589.9179749999994</v>
      </c>
      <c r="AO103" s="246"/>
    </row>
    <row r="104" spans="1:41" s="247" customFormat="1" ht="30" customHeight="1" x14ac:dyDescent="0.2">
      <c r="A104" s="304">
        <v>87</v>
      </c>
      <c r="B104" s="326"/>
      <c r="C104" s="330" t="s">
        <v>646</v>
      </c>
      <c r="D104" s="331" t="s">
        <v>37</v>
      </c>
      <c r="E104" s="332" t="s">
        <v>609</v>
      </c>
      <c r="F104" s="333">
        <v>4</v>
      </c>
      <c r="G104" s="334">
        <v>4.2300000000000004</v>
      </c>
      <c r="H104" s="257">
        <v>17697</v>
      </c>
      <c r="I104" s="257">
        <v>2</v>
      </c>
      <c r="J104" s="303">
        <f t="shared" si="47"/>
        <v>149716.62000000002</v>
      </c>
      <c r="K104" s="337">
        <f t="shared" si="48"/>
        <v>4</v>
      </c>
      <c r="L104" s="380">
        <v>4</v>
      </c>
      <c r="M104" s="338">
        <f t="shared" si="55"/>
        <v>37429.155000000006</v>
      </c>
      <c r="N104" s="380"/>
      <c r="O104" s="338"/>
      <c r="P104" s="380"/>
      <c r="Q104" s="303"/>
      <c r="R104" s="303">
        <f t="shared" si="49"/>
        <v>9357.2887500000015</v>
      </c>
      <c r="S104" s="303">
        <f t="shared" si="50"/>
        <v>46786.443750000006</v>
      </c>
      <c r="T104" s="303">
        <f t="shared" si="51"/>
        <v>4678.6443750000008</v>
      </c>
      <c r="U104" s="303"/>
      <c r="V104" s="303"/>
      <c r="W104" s="303"/>
      <c r="X104" s="303"/>
      <c r="Y104" s="338"/>
      <c r="Z104" s="338"/>
      <c r="AA104" s="338"/>
      <c r="AB104" s="338"/>
      <c r="AC104" s="303"/>
      <c r="AD104" s="303"/>
      <c r="AE104" s="303">
        <f t="shared" si="52"/>
        <v>14035.933125000001</v>
      </c>
      <c r="AF104" s="338">
        <v>4</v>
      </c>
      <c r="AG104" s="338">
        <f t="shared" si="59"/>
        <v>1768</v>
      </c>
      <c r="AH104" s="303"/>
      <c r="AI104" s="303"/>
      <c r="AJ104" s="303"/>
      <c r="AK104" s="303"/>
      <c r="AL104" s="303"/>
      <c r="AM104" s="303">
        <f t="shared" si="53"/>
        <v>67269.02125000002</v>
      </c>
      <c r="AN104" s="303">
        <f t="shared" si="54"/>
        <v>807.22825500000022</v>
      </c>
      <c r="AO104" s="246"/>
    </row>
    <row r="105" spans="1:41" s="247" customFormat="1" ht="30" customHeight="1" x14ac:dyDescent="0.2">
      <c r="A105" s="304">
        <v>88</v>
      </c>
      <c r="B105" s="326"/>
      <c r="C105" s="330" t="s">
        <v>646</v>
      </c>
      <c r="D105" s="331" t="s">
        <v>37</v>
      </c>
      <c r="E105" s="332" t="s">
        <v>614</v>
      </c>
      <c r="F105" s="333">
        <v>20.03</v>
      </c>
      <c r="G105" s="334">
        <v>5.12</v>
      </c>
      <c r="H105" s="257">
        <v>17697</v>
      </c>
      <c r="I105" s="257">
        <v>2</v>
      </c>
      <c r="J105" s="303">
        <f t="shared" si="47"/>
        <v>181217.28</v>
      </c>
      <c r="K105" s="337">
        <f t="shared" si="48"/>
        <v>17</v>
      </c>
      <c r="L105" s="380">
        <v>17</v>
      </c>
      <c r="M105" s="338">
        <f t="shared" si="55"/>
        <v>192543.35999999999</v>
      </c>
      <c r="N105" s="380"/>
      <c r="O105" s="338"/>
      <c r="P105" s="380"/>
      <c r="Q105" s="303"/>
      <c r="R105" s="303">
        <f t="shared" si="49"/>
        <v>48135.839999999997</v>
      </c>
      <c r="S105" s="303">
        <f t="shared" si="50"/>
        <v>240679.19999999998</v>
      </c>
      <c r="T105" s="303">
        <f t="shared" si="51"/>
        <v>24067.919999999998</v>
      </c>
      <c r="U105" s="303">
        <v>50</v>
      </c>
      <c r="V105" s="303">
        <v>8848</v>
      </c>
      <c r="W105" s="303"/>
      <c r="X105" s="303"/>
      <c r="Y105" s="338">
        <v>40</v>
      </c>
      <c r="Z105" s="338">
        <f>(12*17697*40%)/16</f>
        <v>5309.1</v>
      </c>
      <c r="AA105" s="338"/>
      <c r="AB105" s="338"/>
      <c r="AC105" s="303"/>
      <c r="AD105" s="303"/>
      <c r="AE105" s="303">
        <f t="shared" si="52"/>
        <v>72203.759999999995</v>
      </c>
      <c r="AF105" s="338"/>
      <c r="AG105" s="338"/>
      <c r="AH105" s="303"/>
      <c r="AI105" s="303"/>
      <c r="AJ105" s="303">
        <f t="shared" si="57"/>
        <v>84237.719999999987</v>
      </c>
      <c r="AK105" s="303"/>
      <c r="AL105" s="303"/>
      <c r="AM105" s="303">
        <f t="shared" si="53"/>
        <v>435345.69999999995</v>
      </c>
      <c r="AN105" s="303">
        <f t="shared" si="54"/>
        <v>5224.1483999999991</v>
      </c>
      <c r="AO105" s="246"/>
    </row>
    <row r="106" spans="1:41" s="247" customFormat="1" ht="30" customHeight="1" x14ac:dyDescent="0.2">
      <c r="A106" s="304">
        <v>89</v>
      </c>
      <c r="B106" s="326"/>
      <c r="C106" s="330" t="s">
        <v>649</v>
      </c>
      <c r="D106" s="331" t="s">
        <v>37</v>
      </c>
      <c r="E106" s="332" t="s">
        <v>614</v>
      </c>
      <c r="F106" s="333">
        <v>25.1</v>
      </c>
      <c r="G106" s="334">
        <v>5.2</v>
      </c>
      <c r="H106" s="257">
        <v>17697</v>
      </c>
      <c r="I106" s="257">
        <v>2</v>
      </c>
      <c r="J106" s="303">
        <f t="shared" si="47"/>
        <v>184048.80000000002</v>
      </c>
      <c r="K106" s="337">
        <f t="shared" si="48"/>
        <v>14</v>
      </c>
      <c r="L106" s="380"/>
      <c r="M106" s="338"/>
      <c r="N106" s="380">
        <v>6</v>
      </c>
      <c r="O106" s="338">
        <f t="shared" si="56"/>
        <v>69018.3</v>
      </c>
      <c r="P106" s="380">
        <v>8</v>
      </c>
      <c r="Q106" s="303">
        <f t="shared" si="34"/>
        <v>92024.400000000009</v>
      </c>
      <c r="R106" s="303">
        <f t="shared" si="49"/>
        <v>40260.675000000003</v>
      </c>
      <c r="S106" s="303">
        <f t="shared" si="50"/>
        <v>201303.375</v>
      </c>
      <c r="T106" s="303">
        <f t="shared" si="51"/>
        <v>20130.337500000001</v>
      </c>
      <c r="U106" s="303"/>
      <c r="V106" s="303"/>
      <c r="W106" s="303"/>
      <c r="X106" s="303"/>
      <c r="Y106" s="338"/>
      <c r="Z106" s="338"/>
      <c r="AA106" s="338"/>
      <c r="AB106" s="338"/>
      <c r="AC106" s="303"/>
      <c r="AD106" s="303"/>
      <c r="AE106" s="303">
        <f t="shared" si="52"/>
        <v>60391.012499999997</v>
      </c>
      <c r="AF106" s="338"/>
      <c r="AG106" s="338"/>
      <c r="AH106" s="303"/>
      <c r="AI106" s="303"/>
      <c r="AJ106" s="303">
        <f t="shared" si="57"/>
        <v>70456.181249999994</v>
      </c>
      <c r="AK106" s="303"/>
      <c r="AL106" s="303"/>
      <c r="AM106" s="303">
        <f t="shared" si="53"/>
        <v>352280.90625</v>
      </c>
      <c r="AN106" s="303">
        <f t="shared" si="54"/>
        <v>4227.3708749999996</v>
      </c>
      <c r="AO106" s="246"/>
    </row>
    <row r="107" spans="1:41" s="247" customFormat="1" ht="30" customHeight="1" x14ac:dyDescent="0.2">
      <c r="A107" s="304">
        <v>90</v>
      </c>
      <c r="B107" s="326"/>
      <c r="C107" s="330" t="s">
        <v>646</v>
      </c>
      <c r="D107" s="331" t="s">
        <v>37</v>
      </c>
      <c r="E107" s="332" t="s">
        <v>643</v>
      </c>
      <c r="F107" s="333">
        <v>34.04</v>
      </c>
      <c r="G107" s="334">
        <v>5.41</v>
      </c>
      <c r="H107" s="257">
        <v>17697</v>
      </c>
      <c r="I107" s="257">
        <v>2</v>
      </c>
      <c r="J107" s="303">
        <f t="shared" si="47"/>
        <v>191481.54</v>
      </c>
      <c r="K107" s="337">
        <f t="shared" si="48"/>
        <v>17</v>
      </c>
      <c r="L107" s="380">
        <v>17</v>
      </c>
      <c r="M107" s="338">
        <f t="shared" si="55"/>
        <v>203449.13625000001</v>
      </c>
      <c r="N107" s="380"/>
      <c r="O107" s="338"/>
      <c r="P107" s="380"/>
      <c r="Q107" s="303"/>
      <c r="R107" s="303">
        <f t="shared" si="49"/>
        <v>50862.284062500003</v>
      </c>
      <c r="S107" s="303">
        <f t="shared" si="50"/>
        <v>254311.42031250001</v>
      </c>
      <c r="T107" s="303">
        <f t="shared" si="51"/>
        <v>25431.142031250001</v>
      </c>
      <c r="U107" s="303"/>
      <c r="V107" s="303"/>
      <c r="W107" s="303"/>
      <c r="X107" s="303"/>
      <c r="Y107" s="338"/>
      <c r="Z107" s="338"/>
      <c r="AA107" s="338"/>
      <c r="AB107" s="338"/>
      <c r="AC107" s="303"/>
      <c r="AD107" s="303"/>
      <c r="AE107" s="303">
        <f t="shared" si="52"/>
        <v>76293.426093749993</v>
      </c>
      <c r="AF107" s="338">
        <v>7</v>
      </c>
      <c r="AG107" s="338">
        <f t="shared" si="59"/>
        <v>3094</v>
      </c>
      <c r="AH107" s="303"/>
      <c r="AI107" s="303"/>
      <c r="AJ107" s="303"/>
      <c r="AK107" s="303">
        <f>S107*0.4</f>
        <v>101724.56812500001</v>
      </c>
      <c r="AL107" s="303"/>
      <c r="AM107" s="303">
        <f t="shared" si="53"/>
        <v>460854.55656250002</v>
      </c>
      <c r="AN107" s="303">
        <f t="shared" si="54"/>
        <v>5530.2546787499996</v>
      </c>
      <c r="AO107" s="246"/>
    </row>
    <row r="108" spans="1:41" s="247" customFormat="1" ht="30" customHeight="1" x14ac:dyDescent="0.2">
      <c r="A108" s="304">
        <v>91</v>
      </c>
      <c r="B108" s="326"/>
      <c r="C108" s="330" t="s">
        <v>646</v>
      </c>
      <c r="D108" s="331" t="s">
        <v>37</v>
      </c>
      <c r="E108" s="332" t="s">
        <v>614</v>
      </c>
      <c r="F108" s="333">
        <v>32.04</v>
      </c>
      <c r="G108" s="334">
        <v>5.2</v>
      </c>
      <c r="H108" s="257">
        <v>17697</v>
      </c>
      <c r="I108" s="257">
        <v>2</v>
      </c>
      <c r="J108" s="303">
        <f t="shared" si="47"/>
        <v>184048.80000000002</v>
      </c>
      <c r="K108" s="337">
        <f t="shared" si="48"/>
        <v>19</v>
      </c>
      <c r="L108" s="380">
        <v>19</v>
      </c>
      <c r="M108" s="338">
        <f t="shared" si="55"/>
        <v>218557.95</v>
      </c>
      <c r="N108" s="380"/>
      <c r="O108" s="338"/>
      <c r="P108" s="379"/>
      <c r="Q108" s="303"/>
      <c r="R108" s="303">
        <f t="shared" si="49"/>
        <v>54639.487500000003</v>
      </c>
      <c r="S108" s="303">
        <f t="shared" si="50"/>
        <v>273197.4375</v>
      </c>
      <c r="T108" s="303">
        <f t="shared" si="51"/>
        <v>27319.743750000001</v>
      </c>
      <c r="U108" s="303">
        <v>50</v>
      </c>
      <c r="V108" s="303">
        <v>8848</v>
      </c>
      <c r="W108" s="303"/>
      <c r="X108" s="303"/>
      <c r="Y108" s="338">
        <v>40</v>
      </c>
      <c r="Z108" s="338">
        <f>(12*17697*40%)/16</f>
        <v>5309.1</v>
      </c>
      <c r="AA108" s="338"/>
      <c r="AB108" s="338"/>
      <c r="AC108" s="303"/>
      <c r="AD108" s="303"/>
      <c r="AE108" s="303">
        <f t="shared" si="52"/>
        <v>81959.231249999997</v>
      </c>
      <c r="AF108" s="338">
        <v>2</v>
      </c>
      <c r="AG108" s="338">
        <f t="shared" si="59"/>
        <v>884</v>
      </c>
      <c r="AH108" s="303"/>
      <c r="AI108" s="303"/>
      <c r="AJ108" s="303">
        <f t="shared" si="57"/>
        <v>95619.103124999994</v>
      </c>
      <c r="AK108" s="303"/>
      <c r="AL108" s="303"/>
      <c r="AM108" s="303">
        <f t="shared" si="53"/>
        <v>493136.61562499998</v>
      </c>
      <c r="AN108" s="303">
        <f t="shared" si="54"/>
        <v>5917.6393874999994</v>
      </c>
      <c r="AO108" s="246"/>
    </row>
    <row r="109" spans="1:41" s="249" customFormat="1" ht="30" customHeight="1" x14ac:dyDescent="0.35">
      <c r="A109" s="304">
        <v>92</v>
      </c>
      <c r="B109" s="376"/>
      <c r="C109" s="376" t="s">
        <v>738</v>
      </c>
      <c r="D109" s="331" t="s">
        <v>37</v>
      </c>
      <c r="E109" s="332" t="s">
        <v>609</v>
      </c>
      <c r="F109" s="376">
        <v>0</v>
      </c>
      <c r="G109" s="376">
        <v>4.0999999999999996</v>
      </c>
      <c r="H109" s="257">
        <v>17697</v>
      </c>
      <c r="I109" s="257">
        <v>2</v>
      </c>
      <c r="J109" s="303">
        <f t="shared" si="47"/>
        <v>145115.4</v>
      </c>
      <c r="K109" s="337">
        <f t="shared" si="48"/>
        <v>9</v>
      </c>
      <c r="L109" s="380"/>
      <c r="M109" s="338"/>
      <c r="N109" s="380">
        <v>9</v>
      </c>
      <c r="O109" s="338">
        <f t="shared" ref="O109" si="61">N109*J109/16</f>
        <v>81627.412499999991</v>
      </c>
      <c r="P109" s="379"/>
      <c r="Q109" s="303"/>
      <c r="R109" s="303">
        <f t="shared" ref="R109" si="62">(M109+O109+Q109)/4</f>
        <v>20406.853124999998</v>
      </c>
      <c r="S109" s="303">
        <f t="shared" ref="S109" si="63">M109+O109+Q109+R109</f>
        <v>102034.26562499999</v>
      </c>
      <c r="T109" s="303">
        <f t="shared" ref="T109" si="64">S109*0.1</f>
        <v>10203.426562499999</v>
      </c>
      <c r="U109" s="303"/>
      <c r="V109" s="303"/>
      <c r="W109" s="303"/>
      <c r="X109" s="303"/>
      <c r="Y109" s="338">
        <v>40</v>
      </c>
      <c r="Z109" s="338">
        <f>(7*17697*40%)/16</f>
        <v>3096.9750000000004</v>
      </c>
      <c r="AA109" s="338"/>
      <c r="AB109" s="338"/>
      <c r="AC109" s="303"/>
      <c r="AD109" s="303"/>
      <c r="AE109" s="303">
        <f t="shared" ref="AE109" si="65">(J109*K109/16*1.25*0.3)</f>
        <v>30610.279687499995</v>
      </c>
      <c r="AF109" s="338">
        <v>2</v>
      </c>
      <c r="AG109" s="338">
        <f t="shared" ref="AG109" si="66">AF109*442</f>
        <v>884</v>
      </c>
      <c r="AH109" s="303"/>
      <c r="AI109" s="303"/>
      <c r="AJ109" s="303"/>
      <c r="AK109" s="303"/>
      <c r="AL109" s="303"/>
      <c r="AM109" s="303">
        <f t="shared" ref="AM109" si="67">S109+T109+V109+X109+Z109+AB109+AC109+AD109+AE109+AG109+AH109+AI109+AJ109+AK109+AL109</f>
        <v>146828.94687499999</v>
      </c>
      <c r="AN109" s="303">
        <f t="shared" ref="AN109" si="68">AM109*12/1000</f>
        <v>1761.9473624999998</v>
      </c>
      <c r="AO109" s="375"/>
    </row>
    <row r="110" spans="1:41" s="247" customFormat="1" ht="30.75" customHeight="1" x14ac:dyDescent="0.2">
      <c r="A110" s="467" t="s">
        <v>599</v>
      </c>
      <c r="B110" s="468"/>
      <c r="C110" s="468"/>
      <c r="D110" s="468"/>
      <c r="E110" s="468"/>
      <c r="F110" s="468"/>
      <c r="G110" s="468"/>
      <c r="H110" s="468"/>
      <c r="I110" s="469"/>
      <c r="J110" s="303"/>
      <c r="K110" s="337">
        <f t="shared" ref="K110:T110" si="69">SUM(K18:K109)</f>
        <v>1436.5</v>
      </c>
      <c r="L110" s="338">
        <f t="shared" si="69"/>
        <v>476</v>
      </c>
      <c r="M110" s="338">
        <f t="shared" si="69"/>
        <v>5233113.5062500015</v>
      </c>
      <c r="N110" s="382">
        <f t="shared" si="69"/>
        <v>754.5</v>
      </c>
      <c r="O110" s="338">
        <f t="shared" si="69"/>
        <v>7954350.2264999989</v>
      </c>
      <c r="P110" s="338">
        <f t="shared" si="69"/>
        <v>206</v>
      </c>
      <c r="Q110" s="338">
        <f t="shared" si="69"/>
        <v>2237298.9824999995</v>
      </c>
      <c r="R110" s="338">
        <f t="shared" si="69"/>
        <v>3856190.6788124996</v>
      </c>
      <c r="S110" s="338">
        <f t="shared" si="69"/>
        <v>19280953.394062504</v>
      </c>
      <c r="T110" s="338">
        <f t="shared" si="69"/>
        <v>1928095.3394062498</v>
      </c>
      <c r="U110" s="303">
        <v>0</v>
      </c>
      <c r="V110" s="338">
        <f>SUM(V18:V109)</f>
        <v>123872</v>
      </c>
      <c r="W110" s="303">
        <v>0</v>
      </c>
      <c r="X110" s="338">
        <f>SUM(X18:X109)</f>
        <v>244214</v>
      </c>
      <c r="Y110" s="303">
        <v>0</v>
      </c>
      <c r="Z110" s="338">
        <f>SUM(Z18:Z109)</f>
        <v>196436.70000000004</v>
      </c>
      <c r="AA110" s="303">
        <v>0</v>
      </c>
      <c r="AB110" s="338">
        <f>SUM(AB18:AB109)</f>
        <v>108117.609375</v>
      </c>
      <c r="AC110" s="338">
        <f>SUM(AC18:AC109)</f>
        <v>147680</v>
      </c>
      <c r="AD110" s="303">
        <v>0</v>
      </c>
      <c r="AE110" s="338">
        <f t="shared" ref="AE110:AK110" si="70">SUM(AE18:AE109)</f>
        <v>5784286.0182187501</v>
      </c>
      <c r="AF110" s="382">
        <f t="shared" si="70"/>
        <v>141.5</v>
      </c>
      <c r="AG110" s="338">
        <f t="shared" si="70"/>
        <v>62543</v>
      </c>
      <c r="AH110" s="303">
        <f t="shared" si="70"/>
        <v>14156</v>
      </c>
      <c r="AI110" s="303">
        <f t="shared" si="70"/>
        <v>1142551.5018749998</v>
      </c>
      <c r="AJ110" s="303">
        <f t="shared" si="70"/>
        <v>2057514.0534374996</v>
      </c>
      <c r="AK110" s="303">
        <f t="shared" si="70"/>
        <v>1899949.9200000002</v>
      </c>
      <c r="AL110" s="303">
        <v>0</v>
      </c>
      <c r="AM110" s="303">
        <f>SUM(AM18:AM109)</f>
        <v>32990369.536375016</v>
      </c>
      <c r="AN110" s="303">
        <f>SUM(AN18:AN109)</f>
        <v>395884.43443649996</v>
      </c>
      <c r="AO110" s="246"/>
    </row>
    <row r="111" spans="1:41" s="247" customFormat="1" ht="15" x14ac:dyDescent="0.2">
      <c r="A111" s="297"/>
      <c r="B111" s="297"/>
      <c r="C111" s="297"/>
      <c r="D111" s="297"/>
      <c r="E111" s="297"/>
      <c r="F111" s="297"/>
      <c r="G111" s="340"/>
      <c r="H111" s="297"/>
      <c r="I111" s="297"/>
      <c r="J111" s="298"/>
      <c r="K111" s="344"/>
      <c r="L111" s="344"/>
      <c r="M111" s="345"/>
      <c r="N111" s="344"/>
      <c r="O111" s="345"/>
      <c r="P111" s="345"/>
      <c r="Q111" s="298"/>
      <c r="R111" s="298"/>
      <c r="S111" s="298"/>
      <c r="T111" s="298"/>
      <c r="U111" s="298"/>
      <c r="V111" s="298"/>
      <c r="W111" s="298"/>
      <c r="X111" s="298"/>
      <c r="Y111" s="345"/>
      <c r="Z111" s="345"/>
      <c r="AA111" s="345"/>
      <c r="AB111" s="345"/>
      <c r="AC111" s="298"/>
      <c r="AD111" s="298"/>
      <c r="AE111" s="298"/>
      <c r="AF111" s="345"/>
      <c r="AG111" s="345"/>
      <c r="AH111" s="298"/>
      <c r="AI111" s="298"/>
      <c r="AJ111" s="298"/>
      <c r="AK111" s="298"/>
      <c r="AL111" s="298"/>
      <c r="AM111" s="298"/>
      <c r="AN111" s="298"/>
      <c r="AO111" s="246"/>
    </row>
    <row r="112" spans="1:41" s="280" customFormat="1" ht="18" customHeight="1" x14ac:dyDescent="0.35">
      <c r="A112" s="279"/>
      <c r="B112" s="315"/>
      <c r="C112" s="453" t="s">
        <v>633</v>
      </c>
      <c r="D112" s="453"/>
      <c r="E112" s="453"/>
      <c r="F112" s="316"/>
      <c r="G112" s="164"/>
      <c r="I112" s="279"/>
      <c r="J112" s="281"/>
      <c r="K112" s="172"/>
      <c r="L112" s="172"/>
      <c r="M112" s="166"/>
      <c r="N112" s="172"/>
      <c r="O112" s="166"/>
      <c r="P112" s="172"/>
      <c r="Q112" s="283"/>
      <c r="R112" s="282"/>
      <c r="S112" s="283"/>
      <c r="T112" s="282"/>
      <c r="U112" s="282"/>
      <c r="V112" s="283"/>
      <c r="W112" s="284"/>
      <c r="X112" s="281"/>
      <c r="Y112" s="172"/>
      <c r="Z112" s="166"/>
      <c r="AA112" s="168"/>
      <c r="AB112" s="170"/>
      <c r="AC112" s="281"/>
      <c r="AD112" s="281"/>
      <c r="AF112" s="164"/>
      <c r="AG112" s="164"/>
      <c r="AH112" s="285"/>
      <c r="AI112" s="285"/>
      <c r="AJ112" s="285"/>
      <c r="AK112" s="285"/>
      <c r="AL112" s="285"/>
      <c r="AM112" s="281"/>
      <c r="AN112" s="281"/>
    </row>
    <row r="113" spans="1:40" s="280" customFormat="1" ht="18" customHeight="1" x14ac:dyDescent="0.25">
      <c r="B113" s="317">
        <v>1</v>
      </c>
      <c r="C113" s="318"/>
      <c r="D113" s="319"/>
      <c r="E113" s="313" t="s">
        <v>663</v>
      </c>
      <c r="F113" s="320"/>
      <c r="G113" s="390"/>
      <c r="I113" s="279"/>
      <c r="J113" s="281"/>
      <c r="K113" s="173"/>
      <c r="L113" s="163"/>
      <c r="M113" s="166"/>
      <c r="N113" s="383"/>
      <c r="O113" s="166"/>
      <c r="P113" s="383"/>
      <c r="Q113" s="283"/>
      <c r="S113" s="281"/>
      <c r="V113" s="281"/>
      <c r="W113" s="286"/>
      <c r="X113" s="281"/>
      <c r="Y113" s="164"/>
      <c r="Z113" s="170"/>
      <c r="AA113" s="175"/>
      <c r="AB113" s="170"/>
      <c r="AC113" s="281"/>
      <c r="AD113" s="281"/>
      <c r="AF113" s="164"/>
      <c r="AG113" s="164"/>
      <c r="AM113" s="281"/>
      <c r="AN113" s="281"/>
    </row>
    <row r="114" spans="1:40" s="280" customFormat="1" ht="18" customHeight="1" x14ac:dyDescent="0.25">
      <c r="B114" s="317">
        <v>2</v>
      </c>
      <c r="C114" s="318"/>
      <c r="D114" s="319"/>
      <c r="E114" s="314" t="s">
        <v>737</v>
      </c>
      <c r="F114" s="321"/>
      <c r="G114" s="391"/>
      <c r="I114" s="279"/>
      <c r="J114" s="281"/>
      <c r="K114" s="173"/>
      <c r="L114" s="163"/>
      <c r="M114" s="166"/>
      <c r="N114" s="383"/>
      <c r="O114" s="166"/>
      <c r="P114" s="383"/>
      <c r="Q114" s="283"/>
      <c r="S114" s="281"/>
      <c r="V114" s="281"/>
      <c r="W114" s="286"/>
      <c r="X114" s="281"/>
      <c r="Y114" s="164"/>
      <c r="Z114" s="170"/>
      <c r="AA114" s="175"/>
      <c r="AB114" s="170"/>
      <c r="AC114" s="281"/>
      <c r="AD114" s="281"/>
      <c r="AF114" s="164"/>
      <c r="AG114" s="164"/>
      <c r="AM114" s="281"/>
      <c r="AN114" s="281"/>
    </row>
    <row r="115" spans="1:40" s="280" customFormat="1" ht="18" customHeight="1" x14ac:dyDescent="0.25">
      <c r="B115" s="317">
        <v>3</v>
      </c>
      <c r="C115" s="318"/>
      <c r="D115" s="319"/>
      <c r="E115" s="314" t="s">
        <v>666</v>
      </c>
      <c r="F115" s="321"/>
      <c r="G115" s="391"/>
      <c r="I115" s="279"/>
      <c r="J115" s="281"/>
      <c r="K115" s="173"/>
      <c r="L115" s="163"/>
      <c r="M115" s="166"/>
      <c r="N115" s="383"/>
      <c r="O115" s="166"/>
      <c r="P115" s="383"/>
      <c r="Q115" s="283"/>
      <c r="S115" s="281"/>
      <c r="V115" s="281"/>
      <c r="W115" s="286"/>
      <c r="X115" s="281"/>
      <c r="Y115" s="164"/>
      <c r="Z115" s="170"/>
      <c r="AA115" s="175"/>
      <c r="AB115" s="170"/>
      <c r="AC115" s="281"/>
      <c r="AD115" s="281"/>
      <c r="AF115" s="164"/>
      <c r="AG115" s="164"/>
      <c r="AM115" s="281"/>
      <c r="AN115" s="281"/>
    </row>
    <row r="116" spans="1:40" s="247" customFormat="1" ht="15.5" x14ac:dyDescent="0.35">
      <c r="A116" s="287"/>
      <c r="B116" s="317">
        <v>4</v>
      </c>
      <c r="C116" s="318"/>
      <c r="D116" s="319"/>
      <c r="E116" s="348" t="s">
        <v>665</v>
      </c>
      <c r="F116" s="322"/>
      <c r="G116" s="392"/>
      <c r="H116" s="263"/>
      <c r="I116" s="271"/>
      <c r="J116" s="263"/>
      <c r="K116" s="5"/>
      <c r="L116" s="29"/>
      <c r="M116" s="341"/>
      <c r="N116" s="384"/>
      <c r="O116" s="341"/>
      <c r="P116" s="384"/>
      <c r="Q116" s="273"/>
      <c r="R116" s="249"/>
      <c r="S116" s="263"/>
      <c r="T116" s="249"/>
      <c r="U116" s="287"/>
      <c r="V116" s="256"/>
      <c r="W116" s="289"/>
      <c r="X116" s="256"/>
      <c r="Y116" s="3"/>
      <c r="Z116" s="18"/>
      <c r="AA116" s="36"/>
      <c r="AB116" s="18"/>
      <c r="AC116" s="256"/>
      <c r="AD116" s="256"/>
      <c r="AE116" s="287"/>
      <c r="AF116" s="3"/>
      <c r="AG116" s="3"/>
      <c r="AH116" s="287"/>
      <c r="AI116" s="287"/>
      <c r="AJ116" s="287"/>
      <c r="AK116" s="287"/>
      <c r="AL116" s="287"/>
      <c r="AM116" s="256"/>
      <c r="AN116" s="255"/>
    </row>
    <row r="117" spans="1:40" s="247" customFormat="1" ht="16.5" customHeight="1" x14ac:dyDescent="0.35">
      <c r="A117" s="287"/>
      <c r="B117" s="317">
        <v>5</v>
      </c>
      <c r="C117" s="318"/>
      <c r="D117" s="319"/>
      <c r="E117" s="349" t="s">
        <v>664</v>
      </c>
      <c r="F117" s="323"/>
      <c r="G117" s="393"/>
      <c r="H117" s="263"/>
      <c r="I117" s="271"/>
      <c r="J117" s="263"/>
      <c r="K117" s="7"/>
      <c r="L117" s="29"/>
      <c r="M117" s="341"/>
      <c r="N117" s="384"/>
      <c r="O117" s="341"/>
      <c r="P117" s="384"/>
      <c r="Q117" s="273"/>
      <c r="R117" s="249"/>
      <c r="S117" s="263"/>
      <c r="T117" s="249"/>
      <c r="U117" s="287"/>
      <c r="V117" s="256"/>
      <c r="W117" s="289"/>
      <c r="X117" s="256"/>
      <c r="Y117" s="3"/>
      <c r="Z117" s="18"/>
      <c r="AA117" s="36"/>
      <c r="AB117" s="18"/>
      <c r="AC117" s="256"/>
      <c r="AD117" s="256"/>
      <c r="AE117" s="287"/>
      <c r="AF117" s="3"/>
      <c r="AG117" s="3"/>
      <c r="AH117" s="287"/>
      <c r="AI117" s="287"/>
      <c r="AJ117" s="287"/>
      <c r="AK117" s="287"/>
      <c r="AL117" s="287"/>
      <c r="AM117" s="256"/>
      <c r="AN117" s="255"/>
    </row>
    <row r="118" spans="1:40" s="247" customFormat="1" ht="15.5" x14ac:dyDescent="0.35">
      <c r="A118" s="290"/>
      <c r="B118" s="249"/>
      <c r="C118" s="249"/>
      <c r="D118" s="249"/>
      <c r="E118" s="249"/>
      <c r="F118" s="288"/>
      <c r="G118" s="5"/>
      <c r="H118" s="263"/>
      <c r="I118" s="271"/>
      <c r="J118" s="263"/>
      <c r="K118" s="8"/>
      <c r="L118" s="29"/>
      <c r="M118" s="341"/>
      <c r="N118" s="384"/>
      <c r="O118" s="341"/>
      <c r="P118" s="384"/>
      <c r="Q118" s="273"/>
      <c r="R118" s="249"/>
      <c r="S118" s="263"/>
      <c r="T118" s="249"/>
      <c r="U118" s="287"/>
      <c r="V118" s="256"/>
      <c r="W118" s="289"/>
      <c r="X118" s="256"/>
      <c r="Y118" s="3"/>
      <c r="Z118" s="18"/>
      <c r="AA118" s="36"/>
      <c r="AB118" s="18"/>
      <c r="AC118" s="256"/>
      <c r="AD118" s="256"/>
      <c r="AE118" s="287"/>
      <c r="AF118" s="3"/>
      <c r="AG118" s="3"/>
      <c r="AH118" s="287"/>
      <c r="AI118" s="287"/>
      <c r="AJ118" s="287"/>
      <c r="AK118" s="287"/>
      <c r="AL118" s="287"/>
      <c r="AM118" s="256"/>
      <c r="AN118" s="255"/>
    </row>
    <row r="119" spans="1:40" s="247" customFormat="1" ht="15.5" x14ac:dyDescent="0.35">
      <c r="A119" s="291"/>
      <c r="B119" s="249"/>
      <c r="C119" s="249"/>
      <c r="D119" s="249"/>
      <c r="E119" s="249"/>
      <c r="F119" s="292"/>
      <c r="G119" s="5"/>
      <c r="H119" s="263"/>
      <c r="I119" s="271"/>
      <c r="J119" s="263"/>
      <c r="K119" s="8"/>
      <c r="L119" s="29"/>
      <c r="M119" s="341"/>
      <c r="N119" s="29"/>
      <c r="O119" s="341"/>
      <c r="P119" s="29"/>
      <c r="Q119" s="273"/>
      <c r="R119" s="249"/>
      <c r="S119" s="263"/>
      <c r="T119" s="249"/>
      <c r="V119" s="255"/>
      <c r="W119" s="293"/>
      <c r="X119" s="255"/>
      <c r="Y119" s="2"/>
      <c r="Z119" s="42"/>
      <c r="AA119" s="35"/>
      <c r="AB119" s="42"/>
      <c r="AC119" s="255"/>
      <c r="AD119" s="255"/>
      <c r="AF119" s="2"/>
      <c r="AG119" s="2"/>
      <c r="AM119" s="255"/>
      <c r="AN119" s="255"/>
    </row>
    <row r="120" spans="1:40" s="247" customFormat="1" x14ac:dyDescent="0.3">
      <c r="A120" s="291"/>
      <c r="F120" s="292"/>
      <c r="G120" s="2"/>
      <c r="H120" s="255"/>
      <c r="I120" s="294"/>
      <c r="J120" s="255"/>
      <c r="K120" s="10"/>
      <c r="L120" s="28"/>
      <c r="M120" s="346"/>
      <c r="N120" s="28"/>
      <c r="O120" s="346"/>
      <c r="P120" s="28"/>
      <c r="Q120" s="335"/>
      <c r="S120" s="255"/>
      <c r="V120" s="255"/>
      <c r="W120" s="293"/>
      <c r="X120" s="255"/>
      <c r="Y120" s="2"/>
      <c r="Z120" s="42"/>
      <c r="AA120" s="35"/>
      <c r="AB120" s="42"/>
      <c r="AC120" s="255"/>
      <c r="AD120" s="255"/>
      <c r="AF120" s="2"/>
      <c r="AG120" s="2"/>
      <c r="AM120" s="255"/>
      <c r="AN120" s="255"/>
    </row>
    <row r="121" spans="1:40" s="247" customFormat="1" x14ac:dyDescent="0.3">
      <c r="A121" s="291"/>
      <c r="F121" s="292"/>
      <c r="G121" s="2"/>
      <c r="H121" s="255"/>
      <c r="I121" s="294"/>
      <c r="J121" s="255"/>
      <c r="K121" s="11"/>
      <c r="L121" s="28"/>
      <c r="M121" s="346"/>
      <c r="N121" s="28"/>
      <c r="O121" s="346"/>
      <c r="P121" s="28"/>
      <c r="Q121" s="335"/>
      <c r="S121" s="255"/>
      <c r="V121" s="255"/>
      <c r="W121" s="293"/>
      <c r="X121" s="255"/>
      <c r="Y121" s="2"/>
      <c r="Z121" s="42"/>
      <c r="AA121" s="35"/>
      <c r="AB121" s="42"/>
      <c r="AC121" s="255"/>
      <c r="AD121" s="255"/>
      <c r="AF121" s="2"/>
      <c r="AG121" s="2"/>
      <c r="AM121" s="255"/>
      <c r="AN121" s="255"/>
    </row>
    <row r="122" spans="1:40" s="247" customFormat="1" x14ac:dyDescent="0.3">
      <c r="F122" s="288"/>
      <c r="G122" s="2"/>
      <c r="H122" s="255"/>
      <c r="I122" s="294"/>
      <c r="J122" s="255"/>
      <c r="K122" s="2"/>
      <c r="L122" s="28"/>
      <c r="M122" s="346"/>
      <c r="N122" s="28"/>
      <c r="O122" s="346"/>
      <c r="P122" s="28"/>
      <c r="Q122" s="335"/>
      <c r="S122" s="255"/>
      <c r="V122" s="255"/>
      <c r="W122" s="293"/>
      <c r="X122" s="255"/>
      <c r="Y122" s="2"/>
      <c r="Z122" s="42"/>
      <c r="AA122" s="35"/>
      <c r="AB122" s="42"/>
      <c r="AC122" s="255"/>
      <c r="AD122" s="255"/>
      <c r="AF122" s="2"/>
      <c r="AG122" s="2"/>
      <c r="AM122" s="255"/>
      <c r="AN122" s="255"/>
    </row>
  </sheetData>
  <mergeCells count="44">
    <mergeCell ref="AN15:AN17"/>
    <mergeCell ref="AM15:AM17"/>
    <mergeCell ref="A110:I110"/>
    <mergeCell ref="R15:R17"/>
    <mergeCell ref="S15:S17"/>
    <mergeCell ref="T15:T17"/>
    <mergeCell ref="U15:X15"/>
    <mergeCell ref="H15:H17"/>
    <mergeCell ref="I15:I17"/>
    <mergeCell ref="F15:F17"/>
    <mergeCell ref="G15:G17"/>
    <mergeCell ref="Y15:AB16"/>
    <mergeCell ref="L15:Q16"/>
    <mergeCell ref="E15:E17"/>
    <mergeCell ref="U16:V16"/>
    <mergeCell ref="W16:X16"/>
    <mergeCell ref="C112:E112"/>
    <mergeCell ref="AC15:AC17"/>
    <mergeCell ref="AD15:AD17"/>
    <mergeCell ref="AE15:AE17"/>
    <mergeCell ref="B9:E9"/>
    <mergeCell ref="A12:AN12"/>
    <mergeCell ref="AF14:AM14"/>
    <mergeCell ref="A15:A17"/>
    <mergeCell ref="B15:B17"/>
    <mergeCell ref="C15:C17"/>
    <mergeCell ref="D15:D17"/>
    <mergeCell ref="AI16:AI17"/>
    <mergeCell ref="AF15:AG16"/>
    <mergeCell ref="AI15:AL15"/>
    <mergeCell ref="J15:J17"/>
    <mergeCell ref="K15:K17"/>
    <mergeCell ref="B2:E2"/>
    <mergeCell ref="AH1:AM8"/>
    <mergeCell ref="B4:E4"/>
    <mergeCell ref="B5:E5"/>
    <mergeCell ref="B6:E6"/>
    <mergeCell ref="B7:E7"/>
    <mergeCell ref="B8:E8"/>
    <mergeCell ref="AJ16:AJ17"/>
    <mergeCell ref="AK16:AK17"/>
    <mergeCell ref="AL16:AL17"/>
    <mergeCell ref="B3:E3"/>
    <mergeCell ref="AH15:AH17"/>
  </mergeCells>
  <pageMargins left="0.23622047244094491" right="0.23622047244094491" top="0.31496062992125984" bottom="0.31496062992125984" header="0" footer="0.27559055118110237"/>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topLeftCell="A21" zoomScaleSheetLayoutView="100" workbookViewId="0">
      <selection activeCell="E27" sqref="E27"/>
    </sheetView>
  </sheetViews>
  <sheetFormatPr defaultColWidth="9.1796875" defaultRowHeight="14" x14ac:dyDescent="0.3"/>
  <cols>
    <col min="1" max="1" width="3" style="217" customWidth="1"/>
    <col min="2" max="2" width="47.26953125" style="230" customWidth="1"/>
    <col min="3" max="3" width="8" style="217" customWidth="1"/>
    <col min="4" max="4" width="7.81640625" style="217" customWidth="1"/>
    <col min="5" max="5" width="11.7265625" style="217" customWidth="1"/>
    <col min="6" max="6" width="39" style="217" customWidth="1"/>
    <col min="7" max="235" width="9.1796875" style="217"/>
    <col min="236" max="236" width="5.453125" style="217" customWidth="1"/>
    <col min="237" max="237" width="45.453125" style="217" customWidth="1"/>
    <col min="238" max="238" width="9.1796875" style="217"/>
    <col min="239" max="239" width="10.26953125" style="217" customWidth="1"/>
    <col min="240" max="240" width="9.81640625" style="217" customWidth="1"/>
    <col min="241" max="241" width="10.7265625" style="217" customWidth="1"/>
    <col min="242" max="242" width="9.54296875" style="217" customWidth="1"/>
    <col min="243" max="243" width="9.1796875" style="217"/>
    <col min="244" max="244" width="10.453125" style="217" customWidth="1"/>
    <col min="245" max="245" width="9.1796875" style="217"/>
    <col min="246" max="246" width="9.54296875" style="217" customWidth="1"/>
    <col min="247" max="247" width="11.1796875" style="217" customWidth="1"/>
    <col min="248" max="248" width="10.26953125" style="217" customWidth="1"/>
    <col min="249" max="249" width="11.81640625" style="217" customWidth="1"/>
    <col min="250" max="250" width="13.54296875" style="217" customWidth="1"/>
    <col min="251" max="16384" width="9.1796875" style="217"/>
  </cols>
  <sheetData>
    <row r="1" spans="1:6" ht="41.25" customHeight="1" x14ac:dyDescent="0.3">
      <c r="A1" s="216"/>
      <c r="B1" s="493" t="s">
        <v>735</v>
      </c>
      <c r="C1" s="493"/>
      <c r="D1" s="493"/>
      <c r="E1" s="493"/>
      <c r="F1" s="493"/>
    </row>
    <row r="2" spans="1:6" ht="6" customHeight="1" x14ac:dyDescent="0.3">
      <c r="A2" s="216"/>
      <c r="B2" s="372"/>
      <c r="C2" s="372"/>
      <c r="D2" s="372"/>
      <c r="E2" s="372"/>
      <c r="F2" s="372"/>
    </row>
    <row r="3" spans="1:6" s="374" customFormat="1" ht="43.5" customHeight="1" x14ac:dyDescent="0.3">
      <c r="A3" s="218" t="s">
        <v>22</v>
      </c>
      <c r="B3" s="218" t="s">
        <v>0</v>
      </c>
      <c r="C3" s="219" t="s">
        <v>463</v>
      </c>
      <c r="D3" s="373" t="s">
        <v>464</v>
      </c>
      <c r="E3" s="373" t="s">
        <v>607</v>
      </c>
      <c r="F3" s="373" t="s">
        <v>465</v>
      </c>
    </row>
    <row r="4" spans="1:6" s="222" customFormat="1" x14ac:dyDescent="0.3">
      <c r="A4" s="220">
        <v>1</v>
      </c>
      <c r="B4" s="220">
        <v>2</v>
      </c>
      <c r="C4" s="220">
        <v>3</v>
      </c>
      <c r="D4" s="221">
        <v>4</v>
      </c>
      <c r="E4" s="221">
        <v>5</v>
      </c>
      <c r="F4" s="221">
        <v>6</v>
      </c>
    </row>
    <row r="5" spans="1:6" ht="28" x14ac:dyDescent="0.3">
      <c r="A5" s="207">
        <v>1</v>
      </c>
      <c r="B5" s="310" t="s">
        <v>5</v>
      </c>
      <c r="C5" s="207">
        <v>1</v>
      </c>
      <c r="D5" s="207">
        <v>1</v>
      </c>
      <c r="E5" s="312">
        <v>0</v>
      </c>
      <c r="F5" s="223" t="s">
        <v>723</v>
      </c>
    </row>
    <row r="6" spans="1:6" ht="28" x14ac:dyDescent="0.3">
      <c r="A6" s="207">
        <v>2</v>
      </c>
      <c r="B6" s="310" t="s">
        <v>619</v>
      </c>
      <c r="C6" s="207">
        <v>2</v>
      </c>
      <c r="D6" s="207">
        <v>2</v>
      </c>
      <c r="E6" s="312">
        <v>0</v>
      </c>
      <c r="F6" s="223" t="s">
        <v>723</v>
      </c>
    </row>
    <row r="7" spans="1:6" ht="28" x14ac:dyDescent="0.3">
      <c r="A7" s="207">
        <v>3</v>
      </c>
      <c r="B7" s="310" t="s">
        <v>620</v>
      </c>
      <c r="C7" s="207">
        <v>2</v>
      </c>
      <c r="D7" s="207">
        <v>2</v>
      </c>
      <c r="E7" s="312">
        <v>0</v>
      </c>
      <c r="F7" s="223" t="s">
        <v>723</v>
      </c>
    </row>
    <row r="8" spans="1:6" ht="28" x14ac:dyDescent="0.3">
      <c r="A8" s="207">
        <v>4</v>
      </c>
      <c r="B8" s="310" t="s">
        <v>721</v>
      </c>
      <c r="C8" s="207">
        <v>1</v>
      </c>
      <c r="D8" s="207">
        <v>1</v>
      </c>
      <c r="E8" s="312">
        <v>0</v>
      </c>
      <c r="F8" s="223" t="s">
        <v>723</v>
      </c>
    </row>
    <row r="9" spans="1:6" ht="28" x14ac:dyDescent="0.3">
      <c r="A9" s="207">
        <v>5</v>
      </c>
      <c r="B9" s="310" t="s">
        <v>621</v>
      </c>
      <c r="C9" s="207">
        <v>1</v>
      </c>
      <c r="D9" s="207">
        <v>1</v>
      </c>
      <c r="E9" s="312">
        <v>0</v>
      </c>
      <c r="F9" s="223" t="s">
        <v>723</v>
      </c>
    </row>
    <row r="10" spans="1:6" ht="28" x14ac:dyDescent="0.3">
      <c r="A10" s="207">
        <v>6</v>
      </c>
      <c r="B10" s="310" t="s">
        <v>466</v>
      </c>
      <c r="C10" s="207">
        <v>2</v>
      </c>
      <c r="D10" s="207">
        <v>1.5</v>
      </c>
      <c r="E10" s="312">
        <v>0.5</v>
      </c>
      <c r="F10" s="223" t="s">
        <v>723</v>
      </c>
    </row>
    <row r="11" spans="1:6" ht="28" x14ac:dyDescent="0.3">
      <c r="A11" s="207">
        <v>7</v>
      </c>
      <c r="B11" s="309" t="s">
        <v>622</v>
      </c>
      <c r="C11" s="207">
        <v>1</v>
      </c>
      <c r="D11" s="207">
        <v>1</v>
      </c>
      <c r="E11" s="312">
        <v>0</v>
      </c>
      <c r="F11" s="223" t="s">
        <v>723</v>
      </c>
    </row>
    <row r="12" spans="1:6" ht="42" x14ac:dyDescent="0.3">
      <c r="A12" s="207">
        <v>8</v>
      </c>
      <c r="B12" s="310" t="s">
        <v>199</v>
      </c>
      <c r="C12" s="207">
        <v>1</v>
      </c>
      <c r="D12" s="207">
        <v>1</v>
      </c>
      <c r="E12" s="312">
        <v>0</v>
      </c>
      <c r="F12" s="224" t="s">
        <v>623</v>
      </c>
    </row>
    <row r="13" spans="1:6" ht="28" x14ac:dyDescent="0.3">
      <c r="A13" s="207">
        <v>9</v>
      </c>
      <c r="B13" s="310" t="s">
        <v>722</v>
      </c>
      <c r="C13" s="207">
        <v>1</v>
      </c>
      <c r="D13" s="207">
        <v>1</v>
      </c>
      <c r="E13" s="312">
        <v>0</v>
      </c>
      <c r="F13" s="223" t="s">
        <v>723</v>
      </c>
    </row>
    <row r="14" spans="1:6" ht="28" x14ac:dyDescent="0.3">
      <c r="A14" s="207">
        <v>10</v>
      </c>
      <c r="B14" s="310" t="s">
        <v>624</v>
      </c>
      <c r="C14" s="207">
        <v>1</v>
      </c>
      <c r="D14" s="207">
        <v>1</v>
      </c>
      <c r="E14" s="312">
        <v>0</v>
      </c>
      <c r="F14" s="223" t="s">
        <v>723</v>
      </c>
    </row>
    <row r="15" spans="1:6" ht="28" x14ac:dyDescent="0.3">
      <c r="A15" s="207">
        <v>11</v>
      </c>
      <c r="B15" s="369" t="s">
        <v>728</v>
      </c>
      <c r="C15" s="207">
        <v>1</v>
      </c>
      <c r="D15" s="207">
        <v>1</v>
      </c>
      <c r="E15" s="312">
        <v>0</v>
      </c>
      <c r="F15" s="223" t="s">
        <v>723</v>
      </c>
    </row>
    <row r="16" spans="1:6" ht="28" x14ac:dyDescent="0.3">
      <c r="A16" s="207">
        <v>12</v>
      </c>
      <c r="B16" s="310" t="s">
        <v>725</v>
      </c>
      <c r="C16" s="207">
        <v>1</v>
      </c>
      <c r="D16" s="207">
        <v>1</v>
      </c>
      <c r="E16" s="312">
        <v>0</v>
      </c>
      <c r="F16" s="223" t="s">
        <v>723</v>
      </c>
    </row>
    <row r="17" spans="1:6" ht="28" x14ac:dyDescent="0.3">
      <c r="A17" s="207">
        <v>13</v>
      </c>
      <c r="B17" s="310" t="s">
        <v>230</v>
      </c>
      <c r="C17" s="207">
        <v>1</v>
      </c>
      <c r="D17" s="207">
        <v>1</v>
      </c>
      <c r="E17" s="312">
        <v>0</v>
      </c>
      <c r="F17" s="223" t="s">
        <v>723</v>
      </c>
    </row>
    <row r="18" spans="1:6" s="229" customFormat="1" ht="93" customHeight="1" x14ac:dyDescent="0.3">
      <c r="A18" s="207">
        <v>14</v>
      </c>
      <c r="B18" s="310" t="s">
        <v>467</v>
      </c>
      <c r="C18" s="207">
        <v>2</v>
      </c>
      <c r="D18" s="207">
        <v>2</v>
      </c>
      <c r="E18" s="312">
        <v>0</v>
      </c>
      <c r="F18" s="224" t="s">
        <v>625</v>
      </c>
    </row>
    <row r="19" spans="1:6" ht="28" x14ac:dyDescent="0.3">
      <c r="A19" s="207">
        <v>15</v>
      </c>
      <c r="B19" s="310" t="s">
        <v>626</v>
      </c>
      <c r="C19" s="207">
        <v>1</v>
      </c>
      <c r="D19" s="207">
        <v>1</v>
      </c>
      <c r="E19" s="312">
        <v>0</v>
      </c>
      <c r="F19" s="224" t="s">
        <v>627</v>
      </c>
    </row>
    <row r="20" spans="1:6" ht="56" x14ac:dyDescent="0.3">
      <c r="A20" s="207">
        <v>16</v>
      </c>
      <c r="B20" s="310" t="s">
        <v>628</v>
      </c>
      <c r="C20" s="207">
        <v>3</v>
      </c>
      <c r="D20" s="207">
        <v>3</v>
      </c>
      <c r="E20" s="312">
        <v>0</v>
      </c>
      <c r="F20" s="224" t="s">
        <v>629</v>
      </c>
    </row>
    <row r="21" spans="1:6" ht="28" x14ac:dyDescent="0.3">
      <c r="A21" s="207">
        <v>17</v>
      </c>
      <c r="B21" s="311" t="s">
        <v>468</v>
      </c>
      <c r="C21" s="207">
        <v>1</v>
      </c>
      <c r="D21" s="207">
        <v>1</v>
      </c>
      <c r="E21" s="312">
        <v>0</v>
      </c>
      <c r="F21" s="223" t="s">
        <v>723</v>
      </c>
    </row>
    <row r="22" spans="1:6" ht="28" x14ac:dyDescent="0.3">
      <c r="A22" s="207">
        <v>18</v>
      </c>
      <c r="B22" s="310" t="s">
        <v>469</v>
      </c>
      <c r="C22" s="207">
        <v>3</v>
      </c>
      <c r="D22" s="207">
        <v>3</v>
      </c>
      <c r="E22" s="312">
        <v>0</v>
      </c>
      <c r="F22" s="223" t="s">
        <v>723</v>
      </c>
    </row>
    <row r="23" spans="1:6" ht="28" x14ac:dyDescent="0.3">
      <c r="A23" s="207">
        <v>19</v>
      </c>
      <c r="B23" s="310" t="s">
        <v>726</v>
      </c>
      <c r="C23" s="207">
        <v>1</v>
      </c>
      <c r="D23" s="207">
        <v>1</v>
      </c>
      <c r="E23" s="312">
        <v>0</v>
      </c>
      <c r="F23" s="223" t="s">
        <v>723</v>
      </c>
    </row>
    <row r="24" spans="1:6" ht="28" x14ac:dyDescent="0.3">
      <c r="A24" s="207">
        <v>20</v>
      </c>
      <c r="B24" s="310" t="s">
        <v>470</v>
      </c>
      <c r="C24" s="207">
        <v>2</v>
      </c>
      <c r="D24" s="207">
        <v>2</v>
      </c>
      <c r="E24" s="312">
        <v>0</v>
      </c>
      <c r="F24" s="223" t="s">
        <v>723</v>
      </c>
    </row>
    <row r="25" spans="1:6" ht="28" x14ac:dyDescent="0.3">
      <c r="A25" s="207"/>
      <c r="B25" s="310" t="s">
        <v>729</v>
      </c>
      <c r="C25" s="207">
        <v>1</v>
      </c>
      <c r="D25" s="207">
        <v>1</v>
      </c>
      <c r="E25" s="312">
        <v>0</v>
      </c>
      <c r="F25" s="223" t="s">
        <v>723</v>
      </c>
    </row>
    <row r="26" spans="1:6" ht="28" x14ac:dyDescent="0.3">
      <c r="A26" s="207">
        <v>21</v>
      </c>
      <c r="B26" s="310" t="s">
        <v>303</v>
      </c>
      <c r="C26" s="207">
        <v>1</v>
      </c>
      <c r="D26" s="207">
        <v>1</v>
      </c>
      <c r="E26" s="312">
        <v>0</v>
      </c>
      <c r="F26" s="223" t="s">
        <v>723</v>
      </c>
    </row>
    <row r="27" spans="1:6" ht="56" x14ac:dyDescent="0.3">
      <c r="A27" s="207">
        <v>22</v>
      </c>
      <c r="B27" s="310" t="s">
        <v>471</v>
      </c>
      <c r="C27" s="207">
        <v>9</v>
      </c>
      <c r="D27" s="207">
        <v>9</v>
      </c>
      <c r="E27" s="312">
        <v>0</v>
      </c>
      <c r="F27" s="224" t="s">
        <v>630</v>
      </c>
    </row>
    <row r="28" spans="1:6" ht="45" customHeight="1" x14ac:dyDescent="0.3">
      <c r="A28" s="207">
        <v>23</v>
      </c>
      <c r="B28" s="310" t="s">
        <v>301</v>
      </c>
      <c r="C28" s="207">
        <v>1</v>
      </c>
      <c r="D28" s="207">
        <v>1</v>
      </c>
      <c r="E28" s="312">
        <v>0</v>
      </c>
      <c r="F28" s="224" t="s">
        <v>631</v>
      </c>
    </row>
    <row r="29" spans="1:6" ht="28" x14ac:dyDescent="0.3">
      <c r="A29" s="207">
        <v>24</v>
      </c>
      <c r="B29" s="310" t="s">
        <v>280</v>
      </c>
      <c r="C29" s="207">
        <v>1</v>
      </c>
      <c r="D29" s="207">
        <v>1</v>
      </c>
      <c r="E29" s="312">
        <v>0</v>
      </c>
      <c r="F29" s="223" t="s">
        <v>723</v>
      </c>
    </row>
    <row r="30" spans="1:6" ht="28" x14ac:dyDescent="0.3">
      <c r="A30" s="207">
        <v>25</v>
      </c>
      <c r="B30" s="310" t="s">
        <v>727</v>
      </c>
      <c r="C30" s="207">
        <v>0.5</v>
      </c>
      <c r="D30" s="207">
        <v>0.5</v>
      </c>
      <c r="E30" s="312">
        <v>0</v>
      </c>
      <c r="F30" s="223" t="s">
        <v>723</v>
      </c>
    </row>
    <row r="31" spans="1:6" ht="28" x14ac:dyDescent="0.3">
      <c r="A31" s="207">
        <v>26</v>
      </c>
      <c r="B31" s="310" t="s">
        <v>632</v>
      </c>
      <c r="C31" s="207">
        <v>1</v>
      </c>
      <c r="D31" s="207">
        <v>1</v>
      </c>
      <c r="E31" s="312">
        <v>0</v>
      </c>
      <c r="F31" s="223" t="s">
        <v>723</v>
      </c>
    </row>
    <row r="32" spans="1:6" ht="15" x14ac:dyDescent="0.3">
      <c r="A32" s="225"/>
      <c r="B32" s="226" t="s">
        <v>71</v>
      </c>
      <c r="C32" s="227">
        <f>SUM(C5:C31)</f>
        <v>43.5</v>
      </c>
      <c r="D32" s="227">
        <f>SUM(D5:D31)</f>
        <v>43</v>
      </c>
      <c r="E32" s="368">
        <f>SUM(E5:E31)</f>
        <v>0.5</v>
      </c>
      <c r="F32" s="228"/>
    </row>
    <row r="34" spans="1:6" x14ac:dyDescent="0.3">
      <c r="A34" s="231"/>
      <c r="B34" s="215" t="s">
        <v>724</v>
      </c>
      <c r="C34" s="231"/>
      <c r="D34" s="231"/>
      <c r="E34" s="232"/>
      <c r="F34" s="231"/>
    </row>
  </sheetData>
  <mergeCells count="1">
    <mergeCell ref="B1:F1"/>
  </mergeCells>
  <pageMargins left="0.55118110236220474" right="0.39370078740157483" top="0.23622047244094491" bottom="0.15748031496062992" header="0.31496062992125984" footer="0.31496062992125984"/>
  <pageSetup paperSize="9" scale="70" fitToHeight="0" orientation="portrait" r:id="rId1"/>
  <rowBreaks count="1" manualBreakCount="1">
    <brk id="3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2"/>
  <sheetViews>
    <sheetView view="pageBreakPreview" zoomScale="85" zoomScaleSheetLayoutView="85" workbookViewId="0">
      <pane xSplit="2" ySplit="1" topLeftCell="C2" activePane="bottomRight" state="frozen"/>
      <selection pane="topRight" activeCell="C1" sqref="C1"/>
      <selection pane="bottomLeft" activeCell="A2" sqref="A2"/>
      <selection pane="bottomRight" activeCell="B7" sqref="B7"/>
    </sheetView>
  </sheetViews>
  <sheetFormatPr defaultRowHeight="43.5" customHeight="1" x14ac:dyDescent="0.25"/>
  <cols>
    <col min="1" max="1" width="5.453125" bestFit="1" customWidth="1"/>
    <col min="2" max="2" width="64.54296875" style="238" customWidth="1"/>
    <col min="3" max="3" width="14.26953125" customWidth="1"/>
    <col min="4" max="4" width="19.26953125" customWidth="1"/>
    <col min="5" max="5" width="52.81640625" customWidth="1"/>
  </cols>
  <sheetData>
    <row r="1" spans="1:5" ht="43.5" customHeight="1" x14ac:dyDescent="0.25">
      <c r="A1" s="233" t="s">
        <v>472</v>
      </c>
      <c r="B1" s="236" t="s">
        <v>473</v>
      </c>
      <c r="C1" s="233" t="s">
        <v>474</v>
      </c>
      <c r="D1" s="233" t="s">
        <v>475</v>
      </c>
      <c r="E1" s="233" t="s">
        <v>476</v>
      </c>
    </row>
    <row r="2" spans="1:5" ht="43.5" customHeight="1" x14ac:dyDescent="0.25">
      <c r="A2" s="233">
        <v>1</v>
      </c>
      <c r="B2" s="236">
        <v>2</v>
      </c>
      <c r="C2" s="233">
        <v>3</v>
      </c>
      <c r="D2" s="233">
        <v>4</v>
      </c>
      <c r="E2" s="233">
        <v>5</v>
      </c>
    </row>
    <row r="3" spans="1:5" ht="53.25" customHeight="1" x14ac:dyDescent="0.25">
      <c r="A3" s="233">
        <v>1</v>
      </c>
      <c r="B3" s="237"/>
      <c r="C3" s="233" t="s">
        <v>477</v>
      </c>
      <c r="D3" s="234"/>
      <c r="E3" s="234"/>
    </row>
    <row r="4" spans="1:5" ht="43.5" customHeight="1" x14ac:dyDescent="0.25">
      <c r="A4" s="233" t="s">
        <v>478</v>
      </c>
      <c r="B4" s="236" t="s">
        <v>479</v>
      </c>
      <c r="C4" s="234"/>
      <c r="D4" s="233" t="s">
        <v>480</v>
      </c>
      <c r="E4" s="233" t="s">
        <v>481</v>
      </c>
    </row>
    <row r="5" spans="1:5" ht="43.5" customHeight="1" x14ac:dyDescent="0.25">
      <c r="A5" s="233" t="s">
        <v>482</v>
      </c>
      <c r="B5" s="236" t="s">
        <v>483</v>
      </c>
      <c r="C5" s="234"/>
      <c r="D5" s="234"/>
      <c r="E5" s="233" t="s">
        <v>484</v>
      </c>
    </row>
    <row r="6" spans="1:5" ht="43.5" customHeight="1" x14ac:dyDescent="0.25">
      <c r="A6" s="234"/>
      <c r="B6" s="236" t="s">
        <v>485</v>
      </c>
      <c r="C6" s="234"/>
      <c r="D6" s="233" t="s">
        <v>486</v>
      </c>
      <c r="E6" s="234"/>
    </row>
    <row r="7" spans="1:5" ht="43.5" customHeight="1" x14ac:dyDescent="0.25">
      <c r="A7" s="234"/>
      <c r="B7" s="236" t="s">
        <v>487</v>
      </c>
      <c r="C7" s="234"/>
      <c r="D7" s="233" t="s">
        <v>480</v>
      </c>
      <c r="E7" s="234"/>
    </row>
    <row r="8" spans="1:5" ht="43.5" customHeight="1" x14ac:dyDescent="0.25">
      <c r="A8" s="234"/>
      <c r="B8" s="236" t="s">
        <v>488</v>
      </c>
      <c r="C8" s="234"/>
      <c r="D8" s="233" t="s">
        <v>489</v>
      </c>
      <c r="E8" s="234"/>
    </row>
    <row r="9" spans="1:5" ht="43.5" customHeight="1" x14ac:dyDescent="0.25">
      <c r="A9" s="233" t="s">
        <v>490</v>
      </c>
      <c r="B9" s="236" t="s">
        <v>491</v>
      </c>
      <c r="C9" s="234"/>
      <c r="D9" s="233" t="s">
        <v>486</v>
      </c>
      <c r="E9" s="233" t="s">
        <v>492</v>
      </c>
    </row>
    <row r="10" spans="1:5" ht="111.75" customHeight="1" x14ac:dyDescent="0.25">
      <c r="A10" s="233" t="s">
        <v>493</v>
      </c>
      <c r="B10" s="236" t="s">
        <v>494</v>
      </c>
      <c r="C10" s="234"/>
      <c r="D10" s="233" t="s">
        <v>486</v>
      </c>
      <c r="E10" s="233" t="s">
        <v>495</v>
      </c>
    </row>
    <row r="11" spans="1:5" ht="43.5" customHeight="1" x14ac:dyDescent="0.25">
      <c r="A11" s="233" t="s">
        <v>496</v>
      </c>
      <c r="B11" s="236" t="s">
        <v>497</v>
      </c>
      <c r="C11" s="234"/>
      <c r="D11" s="233" t="s">
        <v>489</v>
      </c>
      <c r="E11" s="234"/>
    </row>
    <row r="12" spans="1:5" ht="43.5" customHeight="1" x14ac:dyDescent="0.25">
      <c r="A12" s="233">
        <v>2</v>
      </c>
      <c r="B12" s="237"/>
      <c r="C12" s="233" t="s">
        <v>498</v>
      </c>
      <c r="D12" s="234"/>
      <c r="E12" s="234"/>
    </row>
    <row r="13" spans="1:5" ht="111" customHeight="1" x14ac:dyDescent="0.25">
      <c r="A13" s="233" t="s">
        <v>478</v>
      </c>
      <c r="B13" s="236" t="s">
        <v>499</v>
      </c>
      <c r="C13" s="234"/>
      <c r="D13" s="233" t="s">
        <v>489</v>
      </c>
      <c r="E13" s="234"/>
    </row>
    <row r="14" spans="1:5" ht="43.5" customHeight="1" x14ac:dyDescent="0.25">
      <c r="A14" s="233" t="s">
        <v>482</v>
      </c>
      <c r="B14" s="236" t="s">
        <v>500</v>
      </c>
      <c r="C14" s="234"/>
      <c r="D14" s="234"/>
      <c r="E14" s="233" t="s">
        <v>484</v>
      </c>
    </row>
    <row r="15" spans="1:5" ht="43.5" customHeight="1" x14ac:dyDescent="0.25">
      <c r="A15" s="234"/>
      <c r="B15" s="236" t="s">
        <v>501</v>
      </c>
      <c r="C15" s="234"/>
      <c r="D15" s="233" t="s">
        <v>502</v>
      </c>
      <c r="E15" s="234"/>
    </row>
    <row r="16" spans="1:5" ht="43.5" customHeight="1" x14ac:dyDescent="0.25">
      <c r="A16" s="234"/>
      <c r="B16" s="236" t="s">
        <v>503</v>
      </c>
      <c r="C16" s="234"/>
      <c r="D16" s="233" t="s">
        <v>504</v>
      </c>
      <c r="E16" s="234"/>
    </row>
    <row r="17" spans="1:5" ht="43.5" customHeight="1" x14ac:dyDescent="0.25">
      <c r="A17" s="234"/>
      <c r="B17" s="236" t="s">
        <v>505</v>
      </c>
      <c r="C17" s="234"/>
      <c r="D17" s="233" t="s">
        <v>502</v>
      </c>
      <c r="E17" s="234"/>
    </row>
    <row r="18" spans="1:5" ht="43.5" customHeight="1" x14ac:dyDescent="0.25">
      <c r="A18" s="494" t="s">
        <v>490</v>
      </c>
      <c r="B18" s="495" t="s">
        <v>506</v>
      </c>
      <c r="C18" s="496"/>
      <c r="D18" s="496"/>
      <c r="E18" s="235" t="s">
        <v>507</v>
      </c>
    </row>
    <row r="19" spans="1:5" ht="43.5" customHeight="1" x14ac:dyDescent="0.25">
      <c r="A19" s="494"/>
      <c r="B19" s="495"/>
      <c r="C19" s="496"/>
      <c r="D19" s="496"/>
      <c r="E19" s="234"/>
    </row>
    <row r="20" spans="1:5" ht="43.5" customHeight="1" x14ac:dyDescent="0.25">
      <c r="A20" s="494"/>
      <c r="B20" s="495"/>
      <c r="C20" s="496"/>
      <c r="D20" s="496"/>
      <c r="E20" s="233" t="s">
        <v>508</v>
      </c>
    </row>
    <row r="21" spans="1:5" ht="43.5" customHeight="1" x14ac:dyDescent="0.25">
      <c r="A21" s="234"/>
      <c r="B21" s="236" t="s">
        <v>509</v>
      </c>
      <c r="C21" s="234"/>
      <c r="D21" s="233" t="s">
        <v>510</v>
      </c>
      <c r="E21" s="234"/>
    </row>
    <row r="22" spans="1:5" ht="98.25" customHeight="1" x14ac:dyDescent="0.25">
      <c r="A22" s="234"/>
      <c r="B22" s="236" t="s">
        <v>511</v>
      </c>
      <c r="C22" s="234"/>
      <c r="D22" s="233" t="s">
        <v>502</v>
      </c>
      <c r="E22" s="234"/>
    </row>
    <row r="23" spans="1:5" ht="78.75" customHeight="1" x14ac:dyDescent="0.25">
      <c r="A23" s="496"/>
      <c r="B23" s="236" t="s">
        <v>512</v>
      </c>
      <c r="C23" s="496"/>
      <c r="D23" s="233" t="s">
        <v>502</v>
      </c>
      <c r="E23" s="496"/>
    </row>
    <row r="24" spans="1:5" ht="43.5" customHeight="1" x14ac:dyDescent="0.25">
      <c r="A24" s="496"/>
      <c r="B24" s="237"/>
      <c r="C24" s="496"/>
      <c r="D24" s="234"/>
      <c r="E24" s="496"/>
    </row>
    <row r="25" spans="1:5" ht="43.5" customHeight="1" x14ac:dyDescent="0.25">
      <c r="A25" s="496"/>
      <c r="B25" s="236" t="s">
        <v>513</v>
      </c>
      <c r="C25" s="496"/>
      <c r="D25" s="233" t="s">
        <v>510</v>
      </c>
      <c r="E25" s="496"/>
    </row>
    <row r="26" spans="1:5" ht="43.5" customHeight="1" x14ac:dyDescent="0.25">
      <c r="A26" s="496"/>
      <c r="B26" s="237"/>
      <c r="C26" s="496"/>
      <c r="D26" s="234"/>
      <c r="E26" s="496"/>
    </row>
    <row r="27" spans="1:5" ht="43.5" customHeight="1" x14ac:dyDescent="0.25">
      <c r="A27" s="496"/>
      <c r="B27" s="236" t="s">
        <v>514</v>
      </c>
      <c r="C27" s="496"/>
      <c r="D27" s="234"/>
      <c r="E27" s="496"/>
    </row>
    <row r="28" spans="1:5" ht="43.5" customHeight="1" x14ac:dyDescent="0.25">
      <c r="A28" s="494" t="s">
        <v>493</v>
      </c>
      <c r="B28" s="236" t="s">
        <v>515</v>
      </c>
      <c r="C28" s="496"/>
      <c r="D28" s="233" t="s">
        <v>510</v>
      </c>
      <c r="E28" s="233" t="s">
        <v>516</v>
      </c>
    </row>
    <row r="29" spans="1:5" ht="43.5" customHeight="1" x14ac:dyDescent="0.25">
      <c r="A29" s="494"/>
      <c r="B29" s="237"/>
      <c r="C29" s="496"/>
      <c r="D29" s="234"/>
      <c r="E29" s="234"/>
    </row>
    <row r="30" spans="1:5" ht="75" customHeight="1" x14ac:dyDescent="0.25">
      <c r="A30" s="494"/>
      <c r="B30" s="236" t="s">
        <v>517</v>
      </c>
      <c r="C30" s="496"/>
      <c r="D30" s="233" t="s">
        <v>502</v>
      </c>
      <c r="E30" s="233" t="s">
        <v>518</v>
      </c>
    </row>
    <row r="31" spans="1:5" ht="138.75" customHeight="1" x14ac:dyDescent="0.25">
      <c r="A31" s="233" t="s">
        <v>496</v>
      </c>
      <c r="B31" s="236" t="s">
        <v>519</v>
      </c>
      <c r="C31" s="234"/>
      <c r="D31" s="233" t="s">
        <v>489</v>
      </c>
      <c r="E31" s="234"/>
    </row>
    <row r="32" spans="1:5" ht="186" customHeight="1" x14ac:dyDescent="0.25">
      <c r="A32" s="233" t="s">
        <v>520</v>
      </c>
      <c r="B32" s="236" t="s">
        <v>521</v>
      </c>
      <c r="C32" s="234"/>
      <c r="D32" s="233" t="s">
        <v>489</v>
      </c>
      <c r="E32" s="233" t="s">
        <v>522</v>
      </c>
    </row>
    <row r="33" spans="1:5" ht="43.5" customHeight="1" x14ac:dyDescent="0.25">
      <c r="A33" s="233" t="s">
        <v>523</v>
      </c>
      <c r="B33" s="236" t="s">
        <v>524</v>
      </c>
      <c r="C33" s="234"/>
      <c r="D33" s="233" t="s">
        <v>489</v>
      </c>
      <c r="E33" s="234"/>
    </row>
    <row r="34" spans="1:5" ht="43.5" customHeight="1" x14ac:dyDescent="0.25">
      <c r="A34" s="233" t="s">
        <v>525</v>
      </c>
      <c r="B34" s="236" t="s">
        <v>526</v>
      </c>
      <c r="C34" s="234"/>
      <c r="D34" s="233" t="s">
        <v>502</v>
      </c>
      <c r="E34" s="234"/>
    </row>
    <row r="35" spans="1:5" ht="43.5" customHeight="1" x14ac:dyDescent="0.25">
      <c r="A35" s="233" t="s">
        <v>527</v>
      </c>
      <c r="B35" s="236" t="s">
        <v>528</v>
      </c>
      <c r="C35" s="234"/>
      <c r="D35" s="233" t="s">
        <v>489</v>
      </c>
      <c r="E35" s="234"/>
    </row>
    <row r="36" spans="1:5" ht="78.75" customHeight="1" x14ac:dyDescent="0.25">
      <c r="A36" s="233" t="s">
        <v>529</v>
      </c>
      <c r="B36" s="236" t="s">
        <v>530</v>
      </c>
      <c r="C36" s="234"/>
      <c r="D36" s="233" t="s">
        <v>531</v>
      </c>
      <c r="E36" s="233" t="s">
        <v>518</v>
      </c>
    </row>
    <row r="37" spans="1:5" ht="79.5" customHeight="1" x14ac:dyDescent="0.25">
      <c r="A37" s="233" t="s">
        <v>532</v>
      </c>
      <c r="B37" s="236" t="s">
        <v>533</v>
      </c>
      <c r="C37" s="234"/>
      <c r="D37" s="233" t="s">
        <v>534</v>
      </c>
      <c r="E37" s="233" t="s">
        <v>535</v>
      </c>
    </row>
    <row r="38" spans="1:5" ht="43.5" customHeight="1" x14ac:dyDescent="0.25">
      <c r="A38" s="233">
        <v>3</v>
      </c>
      <c r="B38" s="237"/>
      <c r="C38" s="233" t="s">
        <v>536</v>
      </c>
      <c r="D38" s="234"/>
      <c r="E38" s="234"/>
    </row>
    <row r="39" spans="1:5" ht="43.5" customHeight="1" x14ac:dyDescent="0.25">
      <c r="A39" s="233" t="s">
        <v>478</v>
      </c>
      <c r="B39" s="236" t="s">
        <v>537</v>
      </c>
      <c r="C39" s="234"/>
      <c r="D39" s="233" t="s">
        <v>510</v>
      </c>
      <c r="E39" s="234"/>
    </row>
    <row r="40" spans="1:5" ht="43.5" customHeight="1" x14ac:dyDescent="0.25">
      <c r="A40" s="494" t="s">
        <v>482</v>
      </c>
      <c r="B40" s="236" t="s">
        <v>538</v>
      </c>
      <c r="C40" s="496"/>
      <c r="D40" s="494" t="s">
        <v>486</v>
      </c>
      <c r="E40" s="496"/>
    </row>
    <row r="41" spans="1:5" ht="43.5" customHeight="1" x14ac:dyDescent="0.25">
      <c r="A41" s="494"/>
      <c r="B41" s="237"/>
      <c r="C41" s="496"/>
      <c r="D41" s="494"/>
      <c r="E41" s="496"/>
    </row>
    <row r="42" spans="1:5" ht="88.5" customHeight="1" x14ac:dyDescent="0.25">
      <c r="A42" s="494"/>
      <c r="B42" s="236" t="s">
        <v>539</v>
      </c>
      <c r="C42" s="496"/>
      <c r="D42" s="494"/>
      <c r="E42" s="496"/>
    </row>
    <row r="43" spans="1:5" ht="79.5" customHeight="1" x14ac:dyDescent="0.25">
      <c r="A43" s="233">
        <v>4</v>
      </c>
      <c r="B43" s="237"/>
      <c r="C43" s="233" t="s">
        <v>540</v>
      </c>
      <c r="D43" s="234"/>
      <c r="E43" s="233" t="s">
        <v>541</v>
      </c>
    </row>
    <row r="44" spans="1:5" ht="78.75" customHeight="1" x14ac:dyDescent="0.25">
      <c r="A44" s="234"/>
      <c r="B44" s="236" t="s">
        <v>542</v>
      </c>
      <c r="C44" s="234"/>
      <c r="D44" s="233" t="s">
        <v>504</v>
      </c>
      <c r="E44" s="234"/>
    </row>
    <row r="45" spans="1:5" ht="43.5" customHeight="1" x14ac:dyDescent="0.25">
      <c r="A45" s="233">
        <v>5</v>
      </c>
      <c r="B45" s="237"/>
      <c r="C45" s="233" t="s">
        <v>543</v>
      </c>
      <c r="D45" s="234"/>
      <c r="E45" s="234"/>
    </row>
    <row r="46" spans="1:5" ht="43.5" customHeight="1" x14ac:dyDescent="0.25">
      <c r="A46" s="496"/>
      <c r="B46" s="236" t="s">
        <v>544</v>
      </c>
      <c r="C46" s="496"/>
      <c r="D46" s="233" t="s">
        <v>545</v>
      </c>
      <c r="E46" s="233" t="s">
        <v>546</v>
      </c>
    </row>
    <row r="47" spans="1:5" ht="43.5" customHeight="1" x14ac:dyDescent="0.25">
      <c r="A47" s="496"/>
      <c r="B47" s="237"/>
      <c r="C47" s="496"/>
      <c r="D47" s="234"/>
      <c r="E47" s="234"/>
    </row>
    <row r="48" spans="1:5" ht="43.5" customHeight="1" x14ac:dyDescent="0.25">
      <c r="A48" s="496"/>
      <c r="B48" s="236" t="s">
        <v>547</v>
      </c>
      <c r="C48" s="496"/>
      <c r="D48" s="233" t="s">
        <v>548</v>
      </c>
      <c r="E48" s="233" t="s">
        <v>549</v>
      </c>
    </row>
    <row r="49" spans="1:5" ht="43.5" customHeight="1" x14ac:dyDescent="0.25">
      <c r="A49" s="496"/>
      <c r="B49" s="237"/>
      <c r="C49" s="496"/>
      <c r="D49" s="234"/>
      <c r="E49" s="234"/>
    </row>
    <row r="50" spans="1:5" ht="43.5" customHeight="1" x14ac:dyDescent="0.25">
      <c r="A50" s="496"/>
      <c r="B50" s="236" t="s">
        <v>550</v>
      </c>
      <c r="C50" s="496"/>
      <c r="D50" s="233" t="s">
        <v>534</v>
      </c>
      <c r="E50" s="233" t="s">
        <v>551</v>
      </c>
    </row>
    <row r="51" spans="1:5" ht="43.5" customHeight="1" x14ac:dyDescent="0.25">
      <c r="A51" s="496"/>
      <c r="B51" s="237"/>
      <c r="C51" s="496"/>
      <c r="D51" s="234"/>
      <c r="E51" s="234"/>
    </row>
    <row r="52" spans="1:5" ht="43.5" customHeight="1" x14ac:dyDescent="0.25">
      <c r="A52" s="496"/>
      <c r="B52" s="236" t="s">
        <v>552</v>
      </c>
      <c r="C52" s="496"/>
      <c r="D52" s="234"/>
      <c r="E52" s="234"/>
    </row>
    <row r="53" spans="1:5" ht="43.5" customHeight="1" x14ac:dyDescent="0.25">
      <c r="A53" s="233">
        <v>6</v>
      </c>
      <c r="B53" s="237"/>
      <c r="C53" s="233" t="s">
        <v>553</v>
      </c>
      <c r="D53" s="234"/>
      <c r="E53" s="234"/>
    </row>
    <row r="54" spans="1:5" ht="43.5" customHeight="1" x14ac:dyDescent="0.25">
      <c r="A54" s="234"/>
      <c r="B54" s="236" t="s">
        <v>554</v>
      </c>
      <c r="C54" s="234"/>
      <c r="D54" s="233" t="s">
        <v>555</v>
      </c>
      <c r="E54" s="233" t="s">
        <v>556</v>
      </c>
    </row>
    <row r="55" spans="1:5" ht="43.5" customHeight="1" x14ac:dyDescent="0.25">
      <c r="A55" s="233">
        <v>7</v>
      </c>
      <c r="B55" s="236" t="s">
        <v>557</v>
      </c>
      <c r="C55" s="494" t="s">
        <v>558</v>
      </c>
      <c r="D55" s="234"/>
      <c r="E55" s="233" t="s">
        <v>559</v>
      </c>
    </row>
    <row r="56" spans="1:5" ht="43.5" customHeight="1" x14ac:dyDescent="0.25">
      <c r="A56" s="234"/>
      <c r="B56" s="236" t="s">
        <v>560</v>
      </c>
      <c r="C56" s="494"/>
      <c r="D56" s="233" t="s">
        <v>561</v>
      </c>
      <c r="E56" s="234"/>
    </row>
    <row r="57" spans="1:5" ht="43.5" customHeight="1" x14ac:dyDescent="0.25">
      <c r="A57" s="234"/>
      <c r="B57" s="236" t="s">
        <v>562</v>
      </c>
      <c r="C57" s="494"/>
      <c r="D57" s="233" t="s">
        <v>563</v>
      </c>
      <c r="E57" s="234"/>
    </row>
    <row r="58" spans="1:5" ht="43.5" customHeight="1" x14ac:dyDescent="0.25">
      <c r="A58" s="234"/>
      <c r="B58" s="236" t="s">
        <v>564</v>
      </c>
      <c r="C58" s="494"/>
      <c r="D58" s="233" t="s">
        <v>565</v>
      </c>
      <c r="E58" s="234"/>
    </row>
    <row r="59" spans="1:5" ht="43.5" customHeight="1" x14ac:dyDescent="0.25">
      <c r="A59" s="234"/>
      <c r="B59" s="236" t="s">
        <v>566</v>
      </c>
      <c r="C59" s="494"/>
      <c r="D59" s="233" t="s">
        <v>534</v>
      </c>
      <c r="E59" s="234"/>
    </row>
    <row r="60" spans="1:5" ht="43.5" customHeight="1" x14ac:dyDescent="0.25">
      <c r="A60" s="494">
        <v>8</v>
      </c>
      <c r="B60" s="236" t="s">
        <v>567</v>
      </c>
      <c r="C60" s="494" t="s">
        <v>558</v>
      </c>
      <c r="D60" s="233" t="s">
        <v>561</v>
      </c>
      <c r="E60" s="494" t="s">
        <v>535</v>
      </c>
    </row>
    <row r="61" spans="1:5" ht="43.5" customHeight="1" x14ac:dyDescent="0.25">
      <c r="A61" s="494"/>
      <c r="B61" s="237"/>
      <c r="C61" s="494"/>
      <c r="D61" s="234"/>
      <c r="E61" s="494"/>
    </row>
    <row r="62" spans="1:5" ht="43.5" customHeight="1" x14ac:dyDescent="0.25">
      <c r="A62" s="494"/>
      <c r="B62" s="236" t="s">
        <v>560</v>
      </c>
      <c r="C62" s="494"/>
      <c r="D62" s="233" t="s">
        <v>563</v>
      </c>
      <c r="E62" s="494"/>
    </row>
    <row r="63" spans="1:5" ht="43.5" customHeight="1" x14ac:dyDescent="0.25">
      <c r="A63" s="494"/>
      <c r="B63" s="237"/>
      <c r="C63" s="494"/>
      <c r="D63" s="234"/>
      <c r="E63" s="494"/>
    </row>
    <row r="64" spans="1:5" ht="43.5" customHeight="1" x14ac:dyDescent="0.25">
      <c r="A64" s="494"/>
      <c r="B64" s="236" t="s">
        <v>562</v>
      </c>
      <c r="C64" s="494"/>
      <c r="D64" s="233" t="s">
        <v>565</v>
      </c>
      <c r="E64" s="494"/>
    </row>
    <row r="65" spans="1:5" ht="43.5" customHeight="1" x14ac:dyDescent="0.25">
      <c r="A65" s="494"/>
      <c r="B65" s="237"/>
      <c r="C65" s="494"/>
      <c r="D65" s="234"/>
      <c r="E65" s="494"/>
    </row>
    <row r="66" spans="1:5" ht="43.5" customHeight="1" x14ac:dyDescent="0.25">
      <c r="A66" s="494"/>
      <c r="B66" s="236" t="s">
        <v>564</v>
      </c>
      <c r="C66" s="494"/>
      <c r="D66" s="233" t="s">
        <v>534</v>
      </c>
      <c r="E66" s="494"/>
    </row>
    <row r="67" spans="1:5" ht="43.5" customHeight="1" x14ac:dyDescent="0.25">
      <c r="A67" s="494"/>
      <c r="B67" s="237"/>
      <c r="C67" s="494"/>
      <c r="D67" s="234"/>
      <c r="E67" s="494"/>
    </row>
    <row r="68" spans="1:5" ht="43.5" customHeight="1" x14ac:dyDescent="0.25">
      <c r="A68" s="494"/>
      <c r="B68" s="236" t="s">
        <v>566</v>
      </c>
      <c r="C68" s="494"/>
      <c r="D68" s="234"/>
      <c r="E68" s="494"/>
    </row>
    <row r="69" spans="1:5" ht="43.5" customHeight="1" x14ac:dyDescent="0.25">
      <c r="A69" s="494">
        <v>9</v>
      </c>
      <c r="B69" s="236" t="s">
        <v>568</v>
      </c>
      <c r="C69" s="494" t="s">
        <v>558</v>
      </c>
      <c r="D69" s="233" t="s">
        <v>569</v>
      </c>
      <c r="E69" s="494" t="s">
        <v>535</v>
      </c>
    </row>
    <row r="70" spans="1:5" ht="43.5" customHeight="1" x14ac:dyDescent="0.25">
      <c r="A70" s="494"/>
      <c r="B70" s="237"/>
      <c r="C70" s="494"/>
      <c r="D70" s="234"/>
      <c r="E70" s="494"/>
    </row>
    <row r="71" spans="1:5" ht="43.5" customHeight="1" x14ac:dyDescent="0.25">
      <c r="A71" s="494"/>
      <c r="B71" s="236" t="s">
        <v>570</v>
      </c>
      <c r="C71" s="494"/>
      <c r="D71" s="233" t="s">
        <v>571</v>
      </c>
      <c r="E71" s="494"/>
    </row>
    <row r="72" spans="1:5" ht="43.5" customHeight="1" x14ac:dyDescent="0.25">
      <c r="A72" s="494"/>
      <c r="B72" s="237"/>
      <c r="C72" s="494"/>
      <c r="D72" s="234"/>
      <c r="E72" s="494"/>
    </row>
    <row r="73" spans="1:5" ht="43.5" customHeight="1" x14ac:dyDescent="0.25">
      <c r="A73" s="494"/>
      <c r="B73" s="236" t="s">
        <v>572</v>
      </c>
      <c r="C73" s="494"/>
      <c r="D73" s="233" t="s">
        <v>573</v>
      </c>
      <c r="E73" s="494"/>
    </row>
    <row r="74" spans="1:5" ht="43.5" customHeight="1" x14ac:dyDescent="0.25">
      <c r="A74" s="494"/>
      <c r="B74" s="237"/>
      <c r="C74" s="494"/>
      <c r="D74" s="234"/>
      <c r="E74" s="494"/>
    </row>
    <row r="75" spans="1:5" ht="43.5" customHeight="1" x14ac:dyDescent="0.25">
      <c r="A75" s="494"/>
      <c r="B75" s="236" t="s">
        <v>574</v>
      </c>
      <c r="C75" s="494"/>
      <c r="D75" s="234"/>
      <c r="E75" s="494"/>
    </row>
    <row r="76" spans="1:5" ht="43.5" customHeight="1" x14ac:dyDescent="0.25">
      <c r="A76" s="494">
        <v>10</v>
      </c>
      <c r="B76" s="236" t="s">
        <v>575</v>
      </c>
      <c r="C76" s="494" t="s">
        <v>576</v>
      </c>
      <c r="D76" s="494" t="s">
        <v>577</v>
      </c>
      <c r="E76" s="494" t="s">
        <v>578</v>
      </c>
    </row>
    <row r="77" spans="1:5" ht="43.5" customHeight="1" x14ac:dyDescent="0.25">
      <c r="A77" s="494"/>
      <c r="B77" s="237"/>
      <c r="C77" s="494"/>
      <c r="D77" s="494"/>
      <c r="E77" s="494"/>
    </row>
    <row r="78" spans="1:5" ht="43.5" customHeight="1" x14ac:dyDescent="0.25">
      <c r="A78" s="494"/>
      <c r="B78" s="236" t="s">
        <v>579</v>
      </c>
      <c r="C78" s="494"/>
      <c r="D78" s="494"/>
      <c r="E78" s="494"/>
    </row>
    <row r="79" spans="1:5" ht="43.5" customHeight="1" x14ac:dyDescent="0.25">
      <c r="A79" s="494">
        <v>11</v>
      </c>
      <c r="B79" s="495" t="s">
        <v>580</v>
      </c>
      <c r="C79" s="494" t="s">
        <v>581</v>
      </c>
      <c r="D79" s="494" t="s">
        <v>582</v>
      </c>
      <c r="E79" s="233" t="s">
        <v>546</v>
      </c>
    </row>
    <row r="80" spans="1:5" ht="43.5" customHeight="1" x14ac:dyDescent="0.25">
      <c r="A80" s="494"/>
      <c r="B80" s="495"/>
      <c r="C80" s="494"/>
      <c r="D80" s="494"/>
      <c r="E80" s="234"/>
    </row>
    <row r="81" spans="1:5" ht="43.5" customHeight="1" x14ac:dyDescent="0.25">
      <c r="A81" s="494"/>
      <c r="B81" s="495"/>
      <c r="C81" s="494"/>
      <c r="D81" s="494"/>
      <c r="E81" s="233" t="s">
        <v>583</v>
      </c>
    </row>
    <row r="82" spans="1:5" ht="43.5" customHeight="1" x14ac:dyDescent="0.25">
      <c r="A82" s="233">
        <v>12</v>
      </c>
      <c r="B82" s="236" t="s">
        <v>584</v>
      </c>
      <c r="C82" s="233" t="s">
        <v>585</v>
      </c>
      <c r="D82" s="233" t="s">
        <v>555</v>
      </c>
      <c r="E82" s="233" t="s">
        <v>518</v>
      </c>
    </row>
  </sheetData>
  <mergeCells count="30">
    <mergeCell ref="A79:A81"/>
    <mergeCell ref="B79:B81"/>
    <mergeCell ref="C79:C81"/>
    <mergeCell ref="D79:D81"/>
    <mergeCell ref="A69:A75"/>
    <mergeCell ref="C69:C75"/>
    <mergeCell ref="E69:E75"/>
    <mergeCell ref="A76:A78"/>
    <mergeCell ref="C76:C78"/>
    <mergeCell ref="D76:D78"/>
    <mergeCell ref="E76:E78"/>
    <mergeCell ref="E60:E68"/>
    <mergeCell ref="E23:E27"/>
    <mergeCell ref="A28:A30"/>
    <mergeCell ref="C28:C30"/>
    <mergeCell ref="A40:A42"/>
    <mergeCell ref="C40:C42"/>
    <mergeCell ref="D40:D42"/>
    <mergeCell ref="E40:E42"/>
    <mergeCell ref="A46:A52"/>
    <mergeCell ref="C46:C52"/>
    <mergeCell ref="C55:C59"/>
    <mergeCell ref="A60:A68"/>
    <mergeCell ref="C60:C68"/>
    <mergeCell ref="A18:A20"/>
    <mergeCell ref="B18:B20"/>
    <mergeCell ref="C18:C20"/>
    <mergeCell ref="D18:D20"/>
    <mergeCell ref="A23:A27"/>
    <mergeCell ref="C23:C27"/>
  </mergeCells>
  <hyperlinks>
    <hyperlink ref="E18" r:id="rId1" location="z0" display="../../../kaz/docs/Z070000319_ - z0" xr:uid="{00000000-0004-0000-0600-000000000000}"/>
  </hyperlinks>
  <pageMargins left="0.7" right="0.7" top="0.75" bottom="0.75" header="0.3" footer="0.3"/>
  <pageSetup paperSize="9" scale="5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Жұмыс парақтары</vt:lpstr>
      </vt:variant>
      <vt:variant>
        <vt:i4>7</vt:i4>
      </vt:variant>
      <vt:variant>
        <vt:lpstr>Атаулы ауқымдар</vt:lpstr>
      </vt:variant>
      <vt:variant>
        <vt:i4>10</vt:i4>
      </vt:variant>
    </vt:vector>
  </HeadingPairs>
  <TitlesOfParts>
    <vt:vector size="17" baseType="lpstr">
      <vt:lpstr>свод штат</vt:lpstr>
      <vt:lpstr>ШТАТ АУП 2022</vt:lpstr>
      <vt:lpstr>тариф мугалим</vt:lpstr>
      <vt:lpstr>АУП 2024</vt:lpstr>
      <vt:lpstr>МҰҒАЛІМ</vt:lpstr>
      <vt:lpstr>анық</vt:lpstr>
      <vt:lpstr>Лист3</vt:lpstr>
      <vt:lpstr>анық!Print_Area</vt:lpstr>
      <vt:lpstr>'АУП 2024'!Print_Area</vt:lpstr>
      <vt:lpstr>МҰҒАЛІМ!Print_Area</vt:lpstr>
      <vt:lpstr>'тариф мугалим'!Print_Area</vt:lpstr>
      <vt:lpstr>'ШТАТ АУП 2022'!Print_Area</vt:lpstr>
      <vt:lpstr>'АУП 2024'!Print_Titles</vt:lpstr>
      <vt:lpstr>МҰҒАЛІМ!Print_Titles</vt:lpstr>
      <vt:lpstr>'свод штат'!Print_Titles</vt:lpstr>
      <vt:lpstr>'тариф мугалим'!Print_Titles</vt:lpstr>
      <vt:lpstr>'ШТАТ АУП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мектеп16</cp:lastModifiedBy>
  <cp:lastPrinted>2024-02-02T11:03:51Z</cp:lastPrinted>
  <dcterms:created xsi:type="dcterms:W3CDTF">1996-10-08T23:32:33Z</dcterms:created>
  <dcterms:modified xsi:type="dcterms:W3CDTF">2024-02-20T10:18:15Z</dcterms:modified>
</cp:coreProperties>
</file>